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552" windowWidth="19416" windowHeight="9756"/>
  </bookViews>
  <sheets>
    <sheet name="Matrix1" sheetId="1" r:id="rId1"/>
    <sheet name="Лист1" sheetId="2" r:id="rId2"/>
  </sheets>
  <definedNames>
    <definedName name="_xlnm.Print_Titles" localSheetId="0">Matrix1!$A:$A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J6" i="1"/>
  <c r="K6" i="1"/>
  <c r="L6" i="1"/>
  <c r="Q6" i="1"/>
  <c r="S6" i="1" s="1"/>
  <c r="X6" i="1"/>
  <c r="Y6" i="1" s="1"/>
  <c r="AD6" i="1"/>
  <c r="AF6" i="1"/>
  <c r="AH6" i="1" s="1"/>
  <c r="AJ6" i="1"/>
  <c r="AK6" i="1" s="1"/>
  <c r="AN6" i="1"/>
  <c r="AQ6" i="1"/>
  <c r="AS6" i="1"/>
  <c r="AT6" i="1" s="1"/>
  <c r="AW6" i="1"/>
  <c r="AZ6" i="1"/>
  <c r="BA6" i="1"/>
  <c r="BB6" i="1"/>
  <c r="BF6" i="1"/>
  <c r="BL6" i="1"/>
  <c r="BO6" i="1"/>
  <c r="BX6" i="1"/>
  <c r="F7" i="1"/>
  <c r="G7" i="1" s="1"/>
  <c r="J7" i="1"/>
  <c r="K7" i="1"/>
  <c r="L7" i="1"/>
  <c r="S7" i="1"/>
  <c r="V7" i="1"/>
  <c r="Y7" i="1"/>
  <c r="AC7" i="1"/>
  <c r="AE7" i="1"/>
  <c r="AH7" i="1"/>
  <c r="AK7" i="1"/>
  <c r="AN7" i="1"/>
  <c r="AQ7" i="1"/>
  <c r="AR7" i="1"/>
  <c r="AT7" i="1" s="1"/>
  <c r="AS7" i="1"/>
  <c r="AW7" i="1"/>
  <c r="AZ7" i="1"/>
  <c r="BA7" i="1"/>
  <c r="BB7" i="1"/>
  <c r="BC7" i="1"/>
  <c r="BG7" i="1"/>
  <c r="BI7" i="1" s="1"/>
  <c r="BL7" i="1"/>
  <c r="BO7" i="1"/>
  <c r="BR7" i="1"/>
  <c r="G8" i="1"/>
  <c r="J8" i="1"/>
  <c r="K8" i="1"/>
  <c r="L8" i="1"/>
  <c r="S8" i="1"/>
  <c r="V8" i="1"/>
  <c r="Y8" i="1"/>
  <c r="AC8" i="1"/>
  <c r="AD8" i="1"/>
  <c r="AH8" i="1"/>
  <c r="AK8" i="1"/>
  <c r="AN8" i="1"/>
  <c r="AQ8" i="1"/>
  <c r="AS8" i="1"/>
  <c r="AT8" i="1" s="1"/>
  <c r="AW8" i="1"/>
  <c r="AZ8" i="1"/>
  <c r="BA8" i="1"/>
  <c r="BC8" i="1" s="1"/>
  <c r="BG8" i="1"/>
  <c r="BH8" i="1"/>
  <c r="BI8" i="1"/>
  <c r="BO8" i="1"/>
  <c r="BU8" i="1"/>
  <c r="BX8" i="1"/>
  <c r="E9" i="1"/>
  <c r="F9" i="1"/>
  <c r="C9" i="1" s="1"/>
  <c r="J9" i="1"/>
  <c r="K9" i="1"/>
  <c r="L9" i="1"/>
  <c r="M9" i="1" s="1"/>
  <c r="S9" i="1"/>
  <c r="V9" i="1"/>
  <c r="X9" i="1"/>
  <c r="Y9" i="1" s="1"/>
  <c r="AE9" i="1"/>
  <c r="AF9" i="1"/>
  <c r="AH9" i="1" s="1"/>
  <c r="AK9" i="1"/>
  <c r="AN9" i="1"/>
  <c r="AQ9" i="1"/>
  <c r="AR9" i="1"/>
  <c r="AS9" i="1"/>
  <c r="AW9" i="1"/>
  <c r="AZ9" i="1"/>
  <c r="BA9" i="1"/>
  <c r="BC9" i="1" s="1"/>
  <c r="BB9" i="1"/>
  <c r="BH9" i="1"/>
  <c r="BI9" i="1" s="1"/>
  <c r="BL9" i="1"/>
  <c r="BO9" i="1"/>
  <c r="BR9" i="1"/>
  <c r="BU9" i="1"/>
  <c r="BX9" i="1"/>
  <c r="G10" i="1"/>
  <c r="J10" i="1"/>
  <c r="K10" i="1"/>
  <c r="B10" i="1" s="1"/>
  <c r="L10" i="1"/>
  <c r="S10" i="1"/>
  <c r="Y10" i="1"/>
  <c r="AE10" i="1"/>
  <c r="AH10" i="1"/>
  <c r="AK10" i="1"/>
  <c r="AN10" i="1"/>
  <c r="AQ10" i="1"/>
  <c r="AS10" i="1"/>
  <c r="AT10" i="1" s="1"/>
  <c r="AW10" i="1"/>
  <c r="AZ10" i="1"/>
  <c r="BC10" i="1"/>
  <c r="BH10" i="1"/>
  <c r="BI10" i="1"/>
  <c r="BO10" i="1"/>
  <c r="BR10" i="1"/>
  <c r="E11" i="1"/>
  <c r="F11" i="1"/>
  <c r="G11" i="1"/>
  <c r="J11" i="1"/>
  <c r="K11" i="1"/>
  <c r="L11" i="1"/>
  <c r="M11" i="1"/>
  <c r="Q11" i="1"/>
  <c r="W11" i="1"/>
  <c r="X11" i="1"/>
  <c r="AC11" i="1"/>
  <c r="AD11" i="1"/>
  <c r="AE11" i="1" s="1"/>
  <c r="AK11" i="1"/>
  <c r="AN11" i="1"/>
  <c r="AQ11" i="1"/>
  <c r="AS11" i="1"/>
  <c r="AT11" i="1" s="1"/>
  <c r="AW11" i="1"/>
  <c r="AZ11" i="1"/>
  <c r="BA11" i="1"/>
  <c r="BC11" i="1" s="1"/>
  <c r="BI11" i="1"/>
  <c r="BL11" i="1"/>
  <c r="BO11" i="1"/>
  <c r="BR11" i="1"/>
  <c r="E12" i="1"/>
  <c r="F12" i="1"/>
  <c r="J12" i="1"/>
  <c r="L12" i="1"/>
  <c r="C12" i="1" s="1"/>
  <c r="Q12" i="1"/>
  <c r="S12" i="1"/>
  <c r="Y12" i="1"/>
  <c r="AE12" i="1"/>
  <c r="AH12" i="1"/>
  <c r="AK12" i="1"/>
  <c r="AN12" i="1"/>
  <c r="AQ12" i="1"/>
  <c r="AR12" i="1"/>
  <c r="AS12" i="1"/>
  <c r="AT12" i="1" s="1"/>
  <c r="AW12" i="1"/>
  <c r="AZ12" i="1"/>
  <c r="BC12" i="1"/>
  <c r="BH12" i="1"/>
  <c r="BI12" i="1" s="1"/>
  <c r="BL12" i="1"/>
  <c r="BO12" i="1"/>
  <c r="BR12" i="1"/>
  <c r="BU12" i="1"/>
  <c r="C13" i="1"/>
  <c r="E13" i="1"/>
  <c r="G13" i="1" s="1"/>
  <c r="F13" i="1"/>
  <c r="J13" i="1"/>
  <c r="L13" i="1"/>
  <c r="M13" i="1" s="1"/>
  <c r="S13" i="1"/>
  <c r="Y13" i="1"/>
  <c r="AE13" i="1"/>
  <c r="AK13" i="1"/>
  <c r="AN13" i="1"/>
  <c r="AQ13" i="1"/>
  <c r="AS13" i="1"/>
  <c r="AT13" i="1" s="1"/>
  <c r="AW13" i="1"/>
  <c r="AZ13" i="1"/>
  <c r="BA13" i="1"/>
  <c r="BC13" i="1" s="1"/>
  <c r="BG13" i="1"/>
  <c r="BL13" i="1"/>
  <c r="BO13" i="1"/>
  <c r="BR13" i="1"/>
  <c r="F14" i="1"/>
  <c r="G14" i="1" s="1"/>
  <c r="J14" i="1"/>
  <c r="K14" i="1"/>
  <c r="L14" i="1"/>
  <c r="M14" i="1" s="1"/>
  <c r="Q14" i="1"/>
  <c r="B14" i="1" s="1"/>
  <c r="V14" i="1"/>
  <c r="X14" i="1"/>
  <c r="Y14" i="1" s="1"/>
  <c r="AE14" i="1"/>
  <c r="AH14" i="1"/>
  <c r="AK14" i="1"/>
  <c r="AN14" i="1"/>
  <c r="AQ14" i="1"/>
  <c r="AS14" i="1"/>
  <c r="AT14" i="1" s="1"/>
  <c r="AW14" i="1"/>
  <c r="AZ14" i="1"/>
  <c r="BC14" i="1"/>
  <c r="BH14" i="1"/>
  <c r="BI14" i="1" s="1"/>
  <c r="BL14" i="1"/>
  <c r="BO14" i="1"/>
  <c r="BR14" i="1"/>
  <c r="F15" i="1"/>
  <c r="J15" i="1"/>
  <c r="L15" i="1"/>
  <c r="M15" i="1" s="1"/>
  <c r="O15" i="1"/>
  <c r="P15" i="1" s="1"/>
  <c r="S15" i="1"/>
  <c r="V15" i="1"/>
  <c r="AE15" i="1"/>
  <c r="AF15" i="1"/>
  <c r="B15" i="1" s="1"/>
  <c r="AK15" i="1"/>
  <c r="AN15" i="1"/>
  <c r="AQ15" i="1"/>
  <c r="AS15" i="1"/>
  <c r="AT15" i="1" s="1"/>
  <c r="AW15" i="1"/>
  <c r="AZ15" i="1"/>
  <c r="BC15" i="1"/>
  <c r="BI15" i="1"/>
  <c r="BL15" i="1"/>
  <c r="BO15" i="1"/>
  <c r="BR15" i="1"/>
  <c r="G16" i="1"/>
  <c r="J16" i="1"/>
  <c r="K16" i="1"/>
  <c r="M16" i="1" s="1"/>
  <c r="L16" i="1"/>
  <c r="S16" i="1"/>
  <c r="Y16" i="1"/>
  <c r="AE16" i="1"/>
  <c r="AK16" i="1"/>
  <c r="AN16" i="1"/>
  <c r="AQ16" i="1"/>
  <c r="AS16" i="1"/>
  <c r="AT16" i="1"/>
  <c r="AW16" i="1"/>
  <c r="AZ16" i="1"/>
  <c r="BA16" i="1"/>
  <c r="BC16" i="1"/>
  <c r="BO16" i="1"/>
  <c r="G17" i="1"/>
  <c r="J17" i="1"/>
  <c r="K17" i="1"/>
  <c r="L17" i="1"/>
  <c r="S17" i="1"/>
  <c r="Y17" i="1"/>
  <c r="Z17" i="1"/>
  <c r="AE17" i="1"/>
  <c r="AH17" i="1"/>
  <c r="AK17" i="1"/>
  <c r="AN17" i="1"/>
  <c r="AQ17" i="1"/>
  <c r="AS17" i="1"/>
  <c r="AT17" i="1" s="1"/>
  <c r="AW17" i="1"/>
  <c r="AX17" i="1"/>
  <c r="AZ17" i="1" s="1"/>
  <c r="BA17" i="1"/>
  <c r="BC17" i="1" s="1"/>
  <c r="BG17" i="1"/>
  <c r="BH17" i="1"/>
  <c r="BL17" i="1"/>
  <c r="BO17" i="1"/>
  <c r="BR17" i="1"/>
  <c r="F18" i="1"/>
  <c r="G18" i="1" s="1"/>
  <c r="J18" i="1"/>
  <c r="L18" i="1"/>
  <c r="M18" i="1" s="1"/>
  <c r="Q18" i="1"/>
  <c r="S18" i="1" s="1"/>
  <c r="Y18" i="1"/>
  <c r="AE18" i="1"/>
  <c r="AH18" i="1"/>
  <c r="AK18" i="1"/>
  <c r="AN18" i="1"/>
  <c r="AQ18" i="1"/>
  <c r="AR18" i="1"/>
  <c r="AS18" i="1"/>
  <c r="AW18" i="1"/>
  <c r="AZ18" i="1"/>
  <c r="BA18" i="1"/>
  <c r="BC18" i="1" s="1"/>
  <c r="BH18" i="1"/>
  <c r="BI18" i="1" s="1"/>
  <c r="BO18" i="1"/>
  <c r="BR18" i="1"/>
  <c r="E19" i="1"/>
  <c r="G19" i="1" s="1"/>
  <c r="F19" i="1"/>
  <c r="J19" i="1"/>
  <c r="L19" i="1"/>
  <c r="Q19" i="1"/>
  <c r="S19" i="1" s="1"/>
  <c r="V19" i="1"/>
  <c r="X19" i="1"/>
  <c r="Y19" i="1" s="1"/>
  <c r="AC19" i="1"/>
  <c r="AD19" i="1"/>
  <c r="AE19" i="1" s="1"/>
  <c r="AH19" i="1"/>
  <c r="AK19" i="1"/>
  <c r="AN19" i="1"/>
  <c r="AQ19" i="1"/>
  <c r="AR19" i="1"/>
  <c r="AS19" i="1"/>
  <c r="AW19" i="1"/>
  <c r="AZ19" i="1"/>
  <c r="BC19" i="1"/>
  <c r="BH19" i="1"/>
  <c r="BI19" i="1" s="1"/>
  <c r="BO19" i="1"/>
  <c r="BR19" i="1"/>
  <c r="BU19" i="1"/>
  <c r="G20" i="1"/>
  <c r="J20" i="1"/>
  <c r="K20" i="1"/>
  <c r="L20" i="1"/>
  <c r="C20" i="1" s="1"/>
  <c r="S20" i="1"/>
  <c r="AE20" i="1"/>
  <c r="AK20" i="1"/>
  <c r="AN20" i="1"/>
  <c r="AQ20" i="1"/>
  <c r="AS20" i="1"/>
  <c r="AT20" i="1"/>
  <c r="AW20" i="1"/>
  <c r="AZ20" i="1"/>
  <c r="BC20" i="1"/>
  <c r="BD20" i="1"/>
  <c r="BO20" i="1"/>
  <c r="BR20" i="1"/>
  <c r="G21" i="1"/>
  <c r="J21" i="1"/>
  <c r="L21" i="1"/>
  <c r="C21" i="1" s="1"/>
  <c r="P21" i="1"/>
  <c r="S21" i="1"/>
  <c r="Y21" i="1"/>
  <c r="Z21" i="1"/>
  <c r="B21" i="1" s="1"/>
  <c r="AE21" i="1"/>
  <c r="AK21" i="1"/>
  <c r="AN21" i="1"/>
  <c r="AQ21" i="1"/>
  <c r="AR21" i="1"/>
  <c r="AS21" i="1"/>
  <c r="AW21" i="1"/>
  <c r="AZ21" i="1"/>
  <c r="BA21" i="1"/>
  <c r="BC21" i="1" s="1"/>
  <c r="BH21" i="1"/>
  <c r="BI21" i="1"/>
  <c r="BO21" i="1"/>
  <c r="BR21" i="1"/>
  <c r="G22" i="1"/>
  <c r="J22" i="1"/>
  <c r="L22" i="1"/>
  <c r="C22" i="1" s="1"/>
  <c r="Q22" i="1"/>
  <c r="Y22" i="1"/>
  <c r="AC22" i="1"/>
  <c r="AD22" i="1"/>
  <c r="AH22" i="1"/>
  <c r="AK22" i="1"/>
  <c r="AN22" i="1"/>
  <c r="AQ22" i="1"/>
  <c r="AR22" i="1"/>
  <c r="AS22" i="1"/>
  <c r="AT22" i="1" s="1"/>
  <c r="AW22" i="1"/>
  <c r="BA22" i="1"/>
  <c r="BC22" i="1" s="1"/>
  <c r="BH22" i="1"/>
  <c r="BI22" i="1" s="1"/>
  <c r="BL22" i="1"/>
  <c r="BO22" i="1"/>
  <c r="BR22" i="1"/>
  <c r="BT22" i="1"/>
  <c r="BU22" i="1"/>
  <c r="G23" i="1"/>
  <c r="J23" i="1"/>
  <c r="K23" i="1"/>
  <c r="M23" i="1" s="1"/>
  <c r="L23" i="1"/>
  <c r="C23" i="1" s="1"/>
  <c r="S23" i="1"/>
  <c r="Y23" i="1"/>
  <c r="AE23" i="1"/>
  <c r="AK23" i="1"/>
  <c r="AN23" i="1"/>
  <c r="AQ23" i="1"/>
  <c r="AS23" i="1"/>
  <c r="AT23" i="1" s="1"/>
  <c r="AW23" i="1"/>
  <c r="AZ23" i="1"/>
  <c r="BC23" i="1"/>
  <c r="BL23" i="1"/>
  <c r="BO23" i="1"/>
  <c r="B24" i="1"/>
  <c r="D24" i="1" s="1"/>
  <c r="C24" i="1"/>
  <c r="G24" i="1"/>
  <c r="J24" i="1"/>
  <c r="M24" i="1"/>
  <c r="S24" i="1"/>
  <c r="V24" i="1"/>
  <c r="Y24" i="1"/>
  <c r="AB24" i="1"/>
  <c r="AE24" i="1"/>
  <c r="AH24" i="1"/>
  <c r="AK24" i="1"/>
  <c r="AN24" i="1"/>
  <c r="AQ24" i="1"/>
  <c r="AW24" i="1"/>
  <c r="AZ24" i="1"/>
  <c r="BC24" i="1"/>
  <c r="BF24" i="1"/>
  <c r="BI24" i="1"/>
  <c r="BL24" i="1"/>
  <c r="BO24" i="1"/>
  <c r="BR24" i="1"/>
  <c r="BX24" i="1"/>
  <c r="B25" i="1"/>
  <c r="C25" i="1"/>
  <c r="G25" i="1"/>
  <c r="J25" i="1"/>
  <c r="M25" i="1"/>
  <c r="S25" i="1"/>
  <c r="V25" i="1"/>
  <c r="Y25" i="1"/>
  <c r="AB25" i="1"/>
  <c r="AE25" i="1"/>
  <c r="AH25" i="1"/>
  <c r="AK25" i="1"/>
  <c r="AN25" i="1"/>
  <c r="AQ25" i="1"/>
  <c r="AQ28" i="1" s="1"/>
  <c r="AW25" i="1"/>
  <c r="AZ25" i="1"/>
  <c r="BC25" i="1"/>
  <c r="BF25" i="1"/>
  <c r="BI25" i="1"/>
  <c r="BL25" i="1"/>
  <c r="BO25" i="1"/>
  <c r="BR25" i="1"/>
  <c r="BX25" i="1"/>
  <c r="B26" i="1"/>
  <c r="C26" i="1"/>
  <c r="G26" i="1"/>
  <c r="J26" i="1"/>
  <c r="M26" i="1"/>
  <c r="S26" i="1"/>
  <c r="V26" i="1"/>
  <c r="Y26" i="1"/>
  <c r="AB26" i="1"/>
  <c r="AE26" i="1"/>
  <c r="AH26" i="1"/>
  <c r="AK26" i="1"/>
  <c r="AN26" i="1"/>
  <c r="AQ26" i="1"/>
  <c r="AW26" i="1"/>
  <c r="AZ26" i="1"/>
  <c r="BC26" i="1"/>
  <c r="BF26" i="1"/>
  <c r="BI26" i="1"/>
  <c r="BL26" i="1"/>
  <c r="BO26" i="1"/>
  <c r="BR26" i="1"/>
  <c r="BX26" i="1"/>
  <c r="C27" i="1"/>
  <c r="AQ27" i="1"/>
  <c r="BA27" i="1"/>
  <c r="B27" i="1" s="1"/>
  <c r="BL27" i="1"/>
  <c r="F28" i="1"/>
  <c r="H28" i="1"/>
  <c r="J28" i="1" s="1"/>
  <c r="I28" i="1"/>
  <c r="K28" i="1"/>
  <c r="L28" i="1"/>
  <c r="M28" i="1" s="1"/>
  <c r="N28" i="1"/>
  <c r="O28" i="1"/>
  <c r="Q28" i="1"/>
  <c r="R28" i="1"/>
  <c r="S28" i="1" s="1"/>
  <c r="T28" i="1"/>
  <c r="U28" i="1"/>
  <c r="W28" i="1"/>
  <c r="X28" i="1"/>
  <c r="AA28" i="1"/>
  <c r="AC28" i="1"/>
  <c r="AD28" i="1"/>
  <c r="AE28" i="1" s="1"/>
  <c r="AF28" i="1"/>
  <c r="AG28" i="1"/>
  <c r="AI28" i="1"/>
  <c r="AJ28" i="1"/>
  <c r="AL28" i="1"/>
  <c r="AM28" i="1"/>
  <c r="AN28" i="1" s="1"/>
  <c r="AO28" i="1"/>
  <c r="AP28" i="1"/>
  <c r="AR28" i="1"/>
  <c r="AT28" i="1" s="1"/>
  <c r="AS28" i="1"/>
  <c r="AU28" i="1"/>
  <c r="AV28" i="1"/>
  <c r="AW28" i="1" s="1"/>
  <c r="AX28" i="1"/>
  <c r="AY28" i="1"/>
  <c r="AZ28" i="1" s="1"/>
  <c r="BB28" i="1"/>
  <c r="BD28" i="1"/>
  <c r="BE28" i="1"/>
  <c r="BG28" i="1"/>
  <c r="BH28" i="1"/>
  <c r="BI28" i="1" s="1"/>
  <c r="BJ28" i="1"/>
  <c r="BK28" i="1"/>
  <c r="BL28" i="1"/>
  <c r="BM28" i="1"/>
  <c r="BO28" i="1" s="1"/>
  <c r="BN28" i="1"/>
  <c r="BP28" i="1"/>
  <c r="BQ28" i="1"/>
  <c r="BS28" i="1"/>
  <c r="BT28" i="1"/>
  <c r="BU28" i="1" s="1"/>
  <c r="BV28" i="1"/>
  <c r="BW28" i="1"/>
  <c r="BX28" i="1" s="1"/>
  <c r="AH28" i="1" l="1"/>
  <c r="BF28" i="1"/>
  <c r="AK28" i="1"/>
  <c r="Z28" i="1"/>
  <c r="V28" i="1"/>
  <c r="P28" i="1"/>
  <c r="E28" i="1"/>
  <c r="G28" i="1" s="1"/>
  <c r="D26" i="1"/>
  <c r="B22" i="1"/>
  <c r="D22" i="1" s="1"/>
  <c r="AT21" i="1"/>
  <c r="C16" i="1"/>
  <c r="B16" i="1"/>
  <c r="AH15" i="1"/>
  <c r="G12" i="1"/>
  <c r="AT9" i="1"/>
  <c r="B8" i="1"/>
  <c r="B7" i="1"/>
  <c r="D7" i="1" s="1"/>
  <c r="C7" i="1"/>
  <c r="B6" i="1"/>
  <c r="D6" i="1" s="1"/>
  <c r="Y28" i="1"/>
  <c r="B23" i="1"/>
  <c r="D23" i="1" s="1"/>
  <c r="AE22" i="1"/>
  <c r="M22" i="1"/>
  <c r="AT19" i="1"/>
  <c r="C18" i="1"/>
  <c r="C15" i="1"/>
  <c r="S14" i="1"/>
  <c r="B11" i="1"/>
  <c r="D11" i="1" s="1"/>
  <c r="M10" i="1"/>
  <c r="C10" i="1"/>
  <c r="D10" i="1" s="1"/>
  <c r="B9" i="1"/>
  <c r="BC6" i="1"/>
  <c r="BR28" i="1"/>
  <c r="C19" i="1"/>
  <c r="B18" i="1"/>
  <c r="C17" i="1"/>
  <c r="D13" i="1"/>
  <c r="BA28" i="1"/>
  <c r="BC28" i="1" s="1"/>
  <c r="AB28" i="1"/>
  <c r="D25" i="1"/>
  <c r="B20" i="1"/>
  <c r="D20" i="1" s="1"/>
  <c r="BI17" i="1"/>
  <c r="B17" i="1"/>
  <c r="D17" i="1" s="1"/>
  <c r="B13" i="1"/>
  <c r="C11" i="1"/>
  <c r="AE8" i="1"/>
  <c r="C8" i="1"/>
  <c r="D8" i="1" s="1"/>
  <c r="C6" i="1"/>
  <c r="D15" i="1"/>
  <c r="D21" i="1"/>
  <c r="D9" i="1"/>
  <c r="C28" i="1"/>
  <c r="S22" i="1"/>
  <c r="AB21" i="1"/>
  <c r="M19" i="1"/>
  <c r="B19" i="1"/>
  <c r="G15" i="1"/>
  <c r="C14" i="1"/>
  <c r="D14" i="1" s="1"/>
  <c r="M12" i="1"/>
  <c r="B12" i="1"/>
  <c r="D12" i="1" s="1"/>
  <c r="S11" i="1"/>
  <c r="M21" i="1"/>
  <c r="M20" i="1"/>
  <c r="AT18" i="1"/>
  <c r="M17" i="1"/>
  <c r="BI13" i="1"/>
  <c r="Y11" i="1"/>
  <c r="G9" i="1"/>
  <c r="M8" i="1"/>
  <c r="AE6" i="1"/>
  <c r="M7" i="1"/>
  <c r="M6" i="1"/>
  <c r="D18" i="1" l="1"/>
  <c r="D16" i="1"/>
  <c r="D19" i="1"/>
  <c r="B28" i="1"/>
  <c r="D28" i="1"/>
</calcChain>
</file>

<file path=xl/sharedStrings.xml><?xml version="1.0" encoding="utf-8"?>
<sst xmlns="http://schemas.openxmlformats.org/spreadsheetml/2006/main" count="183" uniqueCount="56">
  <si>
    <t>Городской округ "Город Южно-Сахалинск"</t>
  </si>
  <si>
    <t>0,00</t>
  </si>
  <si>
    <t>Городской округ "Охинский"</t>
  </si>
  <si>
    <t>Поронайский городской округ</t>
  </si>
  <si>
    <t>"Анивский городской округ"</t>
  </si>
  <si>
    <t>"Курильский городской округ"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</si>
  <si>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</si>
  <si>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</si>
  <si>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</si>
  <si>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</si>
  <si>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</si>
  <si>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</si>
  <si>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</si>
  <si>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</si>
  <si>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</si>
  <si>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</si>
  <si>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 xml:space="preserve"> </t>
  </si>
  <si>
    <t>кассовое исполнение</t>
  </si>
  <si>
    <t xml:space="preserve">план  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</si>
  <si>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</si>
  <si>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</si>
  <si>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</si>
  <si>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</si>
  <si>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</si>
  <si>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</si>
  <si>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</si>
  <si>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</si>
  <si>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</si>
  <si>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</si>
  <si>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</si>
  <si>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</si>
  <si>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</si>
  <si>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</si>
  <si>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</si>
  <si>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</si>
  <si>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</si>
  <si>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 на обеспечение населения качественным жильем
  </t>
  </si>
  <si>
    <t xml:space="preserve">на улучшение жилищных условий граждан, проживающих на сельских территориях
  </t>
  </si>
  <si>
    <t xml:space="preserve">на реализацию в Сахалинской области общественно значимых проектов в рамках проекта "Молодежный бюджет" </t>
  </si>
  <si>
    <t xml:space="preserve">Городской округ "Александровск-Сахалинский район"  </t>
  </si>
  <si>
    <t xml:space="preserve">Городской округ "Долинский"  </t>
  </si>
  <si>
    <t xml:space="preserve">"Корсаковский городской округ" </t>
  </si>
  <si>
    <t xml:space="preserve">"Томаринский городской округ"  </t>
  </si>
  <si>
    <t>ВСЕГО субсидии 2022 год</t>
  </si>
  <si>
    <t>на реализацию мероприятий по благоустройству сельских территорий</t>
  </si>
  <si>
    <t xml:space="preserve">организация электро-, тепло-, газоснабжения  </t>
  </si>
  <si>
    <t xml:space="preserve">на развитие культуры  </t>
  </si>
  <si>
    <t xml:space="preserve">на развитие образования  </t>
  </si>
  <si>
    <t xml:space="preserve">на развитие физической культуры и спорта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</si>
  <si>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организаций, образующих инфраструктуру поддержки субъектов малого и среднего предпринимательства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</si>
  <si>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
</t>
  </si>
  <si>
    <t xml:space="preserve">"Холмский городской округ"  </t>
  </si>
  <si>
    <t xml:space="preserve">"Макаровский городской округ"  </t>
  </si>
  <si>
    <t>на реализацию мероприятий по созданию условий для управления многоквартирными домами (63310 )</t>
  </si>
  <si>
    <t>Исполнение субсидий, предоставленых местным бюджетам, за 2022 год</t>
  </si>
  <si>
    <t>Приложение № 6 к заключению КСП на отчет                               об исполнении областного бюджета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</si>
</sst>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р_."/>
    <numFmt numFmtId="165" formatCode="#,##0.0"/>
    <numFmt numFmtId="166" formatCode="#,##0.0\ _₽"/>
    <numFmt numFmtId="167" formatCode="_-* #,##0.0\ _₽_-;\-* #,##0.0\ _₽_-;_-* &quot;-&quot;??\ _₽_-;_-@_-"/>
    <numFmt numFmtId="168" formatCode="_-* #,##0.0_р_._-;\-* #,##0.0_р_._-;_-* &quot;-&quot;??_р_._-;_-@_-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6" fillId="0" borderId="0" applyFont="0" applyFill="0" applyBorder="0" applyAlignment="0" applyProtection="0"/>
    <xf numFmtId="0" fontId="4" fillId="0" borderId="0">
      <alignment vertical="top" wrapText="1"/>
    </xf>
  </cellStyleXfs>
  <cellXfs count="46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>
      <alignment vertical="top" wrapText="1"/>
    </xf>
    <xf numFmtId="0" fontId="4" fillId="0" borderId="0" xfId="0" applyFont="1" applyFill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5" fontId="0" fillId="0" borderId="0" xfId="0" applyNumberFormat="1" applyFill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8" fontId="2" fillId="0" borderId="1" xfId="1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"/>
  <sheetViews>
    <sheetView tabSelected="1" zoomScaleNormal="100" workbookViewId="0">
      <pane xSplit="1" ySplit="4" topLeftCell="BL5" activePane="bottomRight" state="frozen"/>
      <selection pane="topRight" activeCell="B1" sqref="B1"/>
      <selection pane="bottomLeft" activeCell="A5" sqref="A5"/>
      <selection pane="bottomRight" activeCell="BV5" sqref="BV5"/>
    </sheetView>
  </sheetViews>
  <sheetFormatPr defaultRowHeight="13.2" x14ac:dyDescent="0.25"/>
  <cols>
    <col min="1" max="1" width="40" style="4" customWidth="1"/>
    <col min="2" max="2" width="17.77734375" style="11" customWidth="1"/>
    <col min="3" max="3" width="17.109375" style="11" customWidth="1"/>
    <col min="4" max="4" width="9.77734375" style="11" customWidth="1"/>
    <col min="5" max="5" width="14.33203125" style="11" customWidth="1"/>
    <col min="6" max="6" width="13.44140625" style="11" customWidth="1"/>
    <col min="7" max="7" width="8.77734375" style="11" customWidth="1"/>
    <col min="8" max="8" width="13.77734375" style="11" customWidth="1"/>
    <col min="9" max="9" width="14.109375" style="11" customWidth="1"/>
    <col min="10" max="10" width="8.77734375" style="11" customWidth="1"/>
    <col min="11" max="12" width="15.33203125" style="11" customWidth="1"/>
    <col min="13" max="13" width="8.44140625" style="11" customWidth="1"/>
    <col min="14" max="14" width="13.109375" style="11" customWidth="1"/>
    <col min="15" max="15" width="13.6640625" style="11" customWidth="1"/>
    <col min="16" max="16" width="8.6640625" style="11" customWidth="1"/>
    <col min="17" max="17" width="15.109375" style="11" customWidth="1"/>
    <col min="18" max="18" width="15.6640625" style="11" customWidth="1"/>
    <col min="19" max="19" width="8.44140625" style="11" customWidth="1"/>
    <col min="20" max="20" width="14.6640625" style="11" customWidth="1"/>
    <col min="21" max="21" width="15" style="11" customWidth="1"/>
    <col min="22" max="22" width="8.6640625" style="11" customWidth="1"/>
    <col min="23" max="23" width="14.6640625" style="11" customWidth="1"/>
    <col min="24" max="24" width="15.6640625" style="11" customWidth="1"/>
    <col min="25" max="25" width="8.33203125" style="11" customWidth="1"/>
    <col min="26" max="26" width="13.44140625" style="11" customWidth="1"/>
    <col min="27" max="27" width="13.77734375" style="11" customWidth="1"/>
    <col min="28" max="28" width="8.6640625" style="11" customWidth="1"/>
    <col min="29" max="29" width="14.109375" style="11" customWidth="1"/>
    <col min="30" max="30" width="14" style="11" customWidth="1"/>
    <col min="31" max="31" width="8.77734375" style="11" customWidth="1"/>
    <col min="32" max="32" width="14.44140625" style="11" customWidth="1"/>
    <col min="33" max="33" width="14.77734375" style="11" customWidth="1"/>
    <col min="34" max="34" width="8.109375" style="11" customWidth="1"/>
    <col min="35" max="35" width="16" style="11" customWidth="1"/>
    <col min="36" max="36" width="15.6640625" style="11" customWidth="1"/>
    <col min="37" max="37" width="8.6640625" style="11" customWidth="1"/>
    <col min="38" max="38" width="22.33203125" style="11" customWidth="1"/>
    <col min="39" max="39" width="21.109375" style="11" customWidth="1"/>
    <col min="40" max="40" width="10.77734375" style="11" customWidth="1"/>
    <col min="41" max="41" width="18.44140625" style="11" customWidth="1"/>
    <col min="42" max="42" width="18.109375" style="11" customWidth="1"/>
    <col min="43" max="43" width="9.44140625" style="11" customWidth="1"/>
    <col min="44" max="44" width="18.44140625" style="4" customWidth="1"/>
    <col min="45" max="45" width="17.44140625" style="4" customWidth="1"/>
    <col min="46" max="46" width="10.44140625" style="4" customWidth="1"/>
    <col min="47" max="47" width="13.109375" style="11" customWidth="1"/>
    <col min="48" max="48" width="12.77734375" style="11" customWidth="1"/>
    <col min="49" max="49" width="8.109375" style="11" customWidth="1"/>
    <col min="50" max="50" width="13.109375" style="11" customWidth="1"/>
    <col min="51" max="51" width="12.33203125" style="11" customWidth="1"/>
    <col min="52" max="52" width="10.77734375" style="11" customWidth="1"/>
    <col min="53" max="53" width="15.6640625" style="11" customWidth="1"/>
    <col min="54" max="54" width="15.33203125" style="11" customWidth="1"/>
    <col min="55" max="55" width="9" style="11" customWidth="1"/>
    <col min="56" max="56" width="13" style="11" customWidth="1"/>
    <col min="57" max="57" width="13.109375" style="11" customWidth="1"/>
    <col min="58" max="58" width="8.33203125" style="11" customWidth="1"/>
    <col min="59" max="59" width="15.109375" style="11" customWidth="1"/>
    <col min="60" max="60" width="14.6640625" style="11" customWidth="1"/>
    <col min="61" max="61" width="8.77734375" style="11" customWidth="1"/>
    <col min="62" max="62" width="13.109375" style="4" customWidth="1"/>
    <col min="63" max="63" width="14.109375" style="4" customWidth="1"/>
    <col min="64" max="64" width="8.33203125" style="4" customWidth="1"/>
    <col min="65" max="65" width="13.77734375" style="4" customWidth="1"/>
    <col min="66" max="66" width="14.77734375" style="4" customWidth="1"/>
    <col min="67" max="67" width="8.44140625" style="4" customWidth="1"/>
    <col min="68" max="68" width="13.6640625" style="4" customWidth="1"/>
    <col min="69" max="69" width="14.44140625" style="4" customWidth="1"/>
    <col min="70" max="70" width="8.109375" style="4" customWidth="1"/>
    <col min="71" max="71" width="14.77734375" style="4" customWidth="1"/>
    <col min="72" max="72" width="15.109375" style="4" customWidth="1"/>
    <col min="73" max="73" width="9.33203125" style="4" customWidth="1"/>
    <col min="74" max="74" width="13.77734375" style="4" customWidth="1"/>
    <col min="75" max="75" width="14.44140625" style="4" customWidth="1"/>
    <col min="76" max="76" width="9.33203125" style="4" customWidth="1"/>
  </cols>
  <sheetData>
    <row r="1" spans="1:76" ht="34.200000000000003" customHeight="1" x14ac:dyDescent="0.25">
      <c r="I1" s="35" t="s">
        <v>55</v>
      </c>
      <c r="J1" s="35"/>
      <c r="K1" s="35"/>
      <c r="L1" s="35"/>
      <c r="M1" s="35"/>
    </row>
    <row r="2" spans="1:76" ht="28.95" customHeight="1" x14ac:dyDescent="0.2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76" s="1" customFormat="1" ht="129.6" customHeight="1" x14ac:dyDescent="0.25">
      <c r="A3" s="36"/>
      <c r="B3" s="36" t="s">
        <v>43</v>
      </c>
      <c r="C3" s="36" t="s">
        <v>19</v>
      </c>
      <c r="D3" s="36" t="s">
        <v>20</v>
      </c>
      <c r="E3" s="36" t="s">
        <v>47</v>
      </c>
      <c r="F3" s="36"/>
      <c r="G3" s="36"/>
      <c r="H3" s="36" t="s">
        <v>23</v>
      </c>
      <c r="I3" s="36"/>
      <c r="J3" s="36"/>
      <c r="K3" s="36" t="s">
        <v>36</v>
      </c>
      <c r="L3" s="36"/>
      <c r="M3" s="36"/>
      <c r="N3" s="36" t="s">
        <v>37</v>
      </c>
      <c r="O3" s="36"/>
      <c r="P3" s="36"/>
      <c r="Q3" s="36" t="s">
        <v>24</v>
      </c>
      <c r="R3" s="36"/>
      <c r="S3" s="36"/>
      <c r="T3" s="36" t="s">
        <v>25</v>
      </c>
      <c r="U3" s="36"/>
      <c r="V3" s="36"/>
      <c r="W3" s="36" t="s">
        <v>46</v>
      </c>
      <c r="X3" s="36"/>
      <c r="Y3" s="36"/>
      <c r="Z3" s="36" t="s">
        <v>26</v>
      </c>
      <c r="AA3" s="36"/>
      <c r="AB3" s="36"/>
      <c r="AC3" s="36" t="s">
        <v>48</v>
      </c>
      <c r="AD3" s="36"/>
      <c r="AE3" s="36"/>
      <c r="AF3" s="36" t="s">
        <v>45</v>
      </c>
      <c r="AG3" s="36"/>
      <c r="AH3" s="36"/>
      <c r="AI3" s="36" t="s">
        <v>27</v>
      </c>
      <c r="AJ3" s="36"/>
      <c r="AK3" s="36"/>
      <c r="AL3" s="36" t="s">
        <v>49</v>
      </c>
      <c r="AM3" s="36"/>
      <c r="AN3" s="36"/>
      <c r="AO3" s="36" t="s">
        <v>28</v>
      </c>
      <c r="AP3" s="36"/>
      <c r="AQ3" s="36"/>
      <c r="AR3" s="36" t="s">
        <v>29</v>
      </c>
      <c r="AS3" s="36"/>
      <c r="AT3" s="36"/>
      <c r="AU3" s="36" t="s">
        <v>30</v>
      </c>
      <c r="AV3" s="36"/>
      <c r="AW3" s="36"/>
      <c r="AX3" s="37" t="s">
        <v>53</v>
      </c>
      <c r="AY3" s="40"/>
      <c r="AZ3" s="41"/>
      <c r="BA3" s="36" t="s">
        <v>31</v>
      </c>
      <c r="BB3" s="36"/>
      <c r="BC3" s="36"/>
      <c r="BD3" s="36" t="s">
        <v>32</v>
      </c>
      <c r="BE3" s="36"/>
      <c r="BF3" s="36"/>
      <c r="BG3" s="36" t="s">
        <v>33</v>
      </c>
      <c r="BH3" s="36"/>
      <c r="BI3" s="36"/>
      <c r="BJ3" s="36" t="s">
        <v>34</v>
      </c>
      <c r="BK3" s="36"/>
      <c r="BL3" s="36"/>
      <c r="BM3" s="36" t="s">
        <v>38</v>
      </c>
      <c r="BN3" s="36"/>
      <c r="BO3" s="36"/>
      <c r="BP3" s="36" t="s">
        <v>35</v>
      </c>
      <c r="BQ3" s="36"/>
      <c r="BR3" s="36"/>
      <c r="BS3" s="36" t="s">
        <v>44</v>
      </c>
      <c r="BT3" s="36"/>
      <c r="BU3" s="36"/>
      <c r="BV3" s="37" t="s">
        <v>50</v>
      </c>
      <c r="BW3" s="38"/>
      <c r="BX3" s="39"/>
    </row>
    <row r="4" spans="1:76" s="1" customFormat="1" ht="53.4" customHeight="1" x14ac:dyDescent="0.25">
      <c r="A4" s="36"/>
      <c r="B4" s="36"/>
      <c r="C4" s="36"/>
      <c r="D4" s="36"/>
      <c r="E4" s="9" t="s">
        <v>18</v>
      </c>
      <c r="F4" s="9" t="s">
        <v>17</v>
      </c>
      <c r="G4" s="8" t="s">
        <v>20</v>
      </c>
      <c r="H4" s="9" t="s">
        <v>18</v>
      </c>
      <c r="I4" s="9" t="s">
        <v>17</v>
      </c>
      <c r="J4" s="8" t="s">
        <v>20</v>
      </c>
      <c r="K4" s="9" t="s">
        <v>18</v>
      </c>
      <c r="L4" s="9" t="s">
        <v>17</v>
      </c>
      <c r="M4" s="8" t="s">
        <v>20</v>
      </c>
      <c r="N4" s="9" t="s">
        <v>18</v>
      </c>
      <c r="O4" s="9" t="s">
        <v>17</v>
      </c>
      <c r="P4" s="8" t="s">
        <v>20</v>
      </c>
      <c r="Q4" s="9" t="s">
        <v>18</v>
      </c>
      <c r="R4" s="9" t="s">
        <v>17</v>
      </c>
      <c r="S4" s="8" t="s">
        <v>20</v>
      </c>
      <c r="T4" s="9" t="s">
        <v>18</v>
      </c>
      <c r="U4" s="9" t="s">
        <v>17</v>
      </c>
      <c r="V4" s="8" t="s">
        <v>20</v>
      </c>
      <c r="W4" s="9" t="s">
        <v>18</v>
      </c>
      <c r="X4" s="9" t="s">
        <v>17</v>
      </c>
      <c r="Y4" s="8" t="s">
        <v>20</v>
      </c>
      <c r="Z4" s="9" t="s">
        <v>18</v>
      </c>
      <c r="AA4" s="9" t="s">
        <v>17</v>
      </c>
      <c r="AB4" s="8" t="s">
        <v>20</v>
      </c>
      <c r="AC4" s="9" t="s">
        <v>18</v>
      </c>
      <c r="AD4" s="9" t="s">
        <v>17</v>
      </c>
      <c r="AE4" s="8" t="s">
        <v>20</v>
      </c>
      <c r="AF4" s="9" t="s">
        <v>18</v>
      </c>
      <c r="AG4" s="9" t="s">
        <v>17</v>
      </c>
      <c r="AH4" s="8" t="s">
        <v>20</v>
      </c>
      <c r="AI4" s="9" t="s">
        <v>18</v>
      </c>
      <c r="AJ4" s="9" t="s">
        <v>17</v>
      </c>
      <c r="AK4" s="8" t="s">
        <v>20</v>
      </c>
      <c r="AL4" s="9" t="s">
        <v>18</v>
      </c>
      <c r="AM4" s="9" t="s">
        <v>17</v>
      </c>
      <c r="AN4" s="8" t="s">
        <v>20</v>
      </c>
      <c r="AO4" s="9" t="s">
        <v>18</v>
      </c>
      <c r="AP4" s="9" t="s">
        <v>17</v>
      </c>
      <c r="AQ4" s="8" t="s">
        <v>20</v>
      </c>
      <c r="AR4" s="9" t="s">
        <v>18</v>
      </c>
      <c r="AS4" s="9" t="s">
        <v>17</v>
      </c>
      <c r="AT4" s="8" t="s">
        <v>20</v>
      </c>
      <c r="AU4" s="9" t="s">
        <v>18</v>
      </c>
      <c r="AV4" s="9" t="s">
        <v>17</v>
      </c>
      <c r="AW4" s="8" t="s">
        <v>20</v>
      </c>
      <c r="AX4" s="9" t="s">
        <v>18</v>
      </c>
      <c r="AY4" s="9" t="s">
        <v>17</v>
      </c>
      <c r="AZ4" s="8" t="s">
        <v>20</v>
      </c>
      <c r="BA4" s="13" t="s">
        <v>18</v>
      </c>
      <c r="BB4" s="9" t="s">
        <v>17</v>
      </c>
      <c r="BC4" s="8" t="s">
        <v>20</v>
      </c>
      <c r="BD4" s="9" t="s">
        <v>18</v>
      </c>
      <c r="BE4" s="9" t="s">
        <v>17</v>
      </c>
      <c r="BF4" s="8" t="s">
        <v>20</v>
      </c>
      <c r="BG4" s="9" t="s">
        <v>18</v>
      </c>
      <c r="BH4" s="9" t="s">
        <v>17</v>
      </c>
      <c r="BI4" s="8" t="s">
        <v>20</v>
      </c>
      <c r="BJ4" s="9" t="s">
        <v>18</v>
      </c>
      <c r="BK4" s="9" t="s">
        <v>17</v>
      </c>
      <c r="BL4" s="8" t="s">
        <v>20</v>
      </c>
      <c r="BM4" s="9" t="s">
        <v>18</v>
      </c>
      <c r="BN4" s="9" t="s">
        <v>17</v>
      </c>
      <c r="BO4" s="8" t="s">
        <v>20</v>
      </c>
      <c r="BP4" s="9" t="s">
        <v>18</v>
      </c>
      <c r="BQ4" s="9" t="s">
        <v>17</v>
      </c>
      <c r="BR4" s="8" t="s">
        <v>20</v>
      </c>
      <c r="BS4" s="9" t="s">
        <v>18</v>
      </c>
      <c r="BT4" s="9" t="s">
        <v>17</v>
      </c>
      <c r="BU4" s="8" t="s">
        <v>20</v>
      </c>
      <c r="BV4" s="9" t="s">
        <v>18</v>
      </c>
      <c r="BW4" s="9" t="s">
        <v>17</v>
      </c>
      <c r="BX4" s="8" t="s">
        <v>20</v>
      </c>
    </row>
    <row r="5" spans="1:76" s="4" customFormat="1" x14ac:dyDescent="0.25">
      <c r="A5" s="12" t="s">
        <v>16</v>
      </c>
      <c r="B5" s="34" t="s">
        <v>16</v>
      </c>
      <c r="C5" s="34"/>
      <c r="D5" s="34"/>
      <c r="E5" s="34">
        <v>1</v>
      </c>
      <c r="F5" s="34"/>
      <c r="G5" s="34"/>
      <c r="H5" s="34">
        <v>2</v>
      </c>
      <c r="I5" s="34"/>
      <c r="J5" s="34"/>
      <c r="K5" s="34">
        <v>3</v>
      </c>
      <c r="L5" s="34"/>
      <c r="M5" s="34"/>
      <c r="N5" s="34">
        <v>4</v>
      </c>
      <c r="O5" s="34"/>
      <c r="P5" s="34"/>
      <c r="Q5" s="34">
        <v>5</v>
      </c>
      <c r="R5" s="34"/>
      <c r="S5" s="34"/>
      <c r="T5" s="34">
        <v>6</v>
      </c>
      <c r="U5" s="34"/>
      <c r="V5" s="34"/>
      <c r="W5" s="34">
        <v>7</v>
      </c>
      <c r="X5" s="34"/>
      <c r="Y5" s="34"/>
      <c r="Z5" s="34">
        <v>8</v>
      </c>
      <c r="AA5" s="34"/>
      <c r="AB5" s="34"/>
      <c r="AC5" s="34">
        <v>9</v>
      </c>
      <c r="AD5" s="34"/>
      <c r="AE5" s="34"/>
      <c r="AF5" s="34">
        <v>10</v>
      </c>
      <c r="AG5" s="34"/>
      <c r="AH5" s="34"/>
      <c r="AI5" s="34">
        <v>11</v>
      </c>
      <c r="AJ5" s="34"/>
      <c r="AK5" s="34"/>
      <c r="AL5" s="34">
        <v>12</v>
      </c>
      <c r="AM5" s="34"/>
      <c r="AN5" s="34"/>
      <c r="AO5" s="34">
        <v>13</v>
      </c>
      <c r="AP5" s="34"/>
      <c r="AQ5" s="34"/>
      <c r="AR5" s="34">
        <v>14</v>
      </c>
      <c r="AS5" s="34"/>
      <c r="AT5" s="34"/>
      <c r="AU5" s="34">
        <v>15</v>
      </c>
      <c r="AV5" s="34"/>
      <c r="AW5" s="34"/>
      <c r="AX5" s="42"/>
      <c r="AY5" s="43"/>
      <c r="AZ5" s="44"/>
      <c r="BA5" s="44">
        <v>16</v>
      </c>
      <c r="BB5" s="34"/>
      <c r="BC5" s="34"/>
      <c r="BD5" s="34">
        <v>17</v>
      </c>
      <c r="BE5" s="34"/>
      <c r="BF5" s="34"/>
      <c r="BG5" s="34">
        <v>18</v>
      </c>
      <c r="BH5" s="34"/>
      <c r="BI5" s="34"/>
      <c r="BJ5" s="34">
        <v>19</v>
      </c>
      <c r="BK5" s="34"/>
      <c r="BL5" s="34"/>
      <c r="BM5" s="34">
        <v>20</v>
      </c>
      <c r="BN5" s="34"/>
      <c r="BO5" s="34"/>
      <c r="BP5" s="34">
        <v>21</v>
      </c>
      <c r="BQ5" s="34"/>
      <c r="BR5" s="34"/>
      <c r="BS5" s="34">
        <v>22</v>
      </c>
      <c r="BT5" s="34"/>
      <c r="BU5" s="34"/>
      <c r="BV5" s="31"/>
      <c r="BW5" s="32">
        <v>23</v>
      </c>
      <c r="BX5" s="33"/>
    </row>
    <row r="6" spans="1:76" s="4" customFormat="1" ht="31.2" x14ac:dyDescent="0.3">
      <c r="A6" s="3" t="s">
        <v>0</v>
      </c>
      <c r="B6" s="18">
        <f>E6+H6+K6+N6+Q6+T6+W6+Z6+AC6+AF6+AI6+AL6+AO6+AR6+AU6+AX6+BA6+BD6+BG6+BJ6+BM6+BP6+BS6+BV6</f>
        <v>10284972.500000002</v>
      </c>
      <c r="C6" s="18">
        <f>F6+I6+L6+O6+R6+U6+X6+AA6+AD6+AG6+AJ6+AM6+AP6+AS6+AV6+AY6+BB6+BE6+BH6+BK6+BN6+BQ6+BT6+BW6</f>
        <v>10281639.999999998</v>
      </c>
      <c r="D6" s="18">
        <f>C6/B6*100</f>
        <v>99.967598357700965</v>
      </c>
      <c r="E6" s="19">
        <v>315721.8</v>
      </c>
      <c r="F6" s="18">
        <f>143026.1+172605.7</f>
        <v>315631.80000000005</v>
      </c>
      <c r="G6" s="18">
        <f>F6/E6*100</f>
        <v>99.971493891140895</v>
      </c>
      <c r="H6" s="19">
        <v>8622.4</v>
      </c>
      <c r="I6" s="19">
        <v>8622.4</v>
      </c>
      <c r="J6" s="18">
        <f>I6/H6*100</f>
        <v>100</v>
      </c>
      <c r="K6" s="19">
        <f>1634147.6-18666.9</f>
        <v>1615480.7000000002</v>
      </c>
      <c r="L6" s="18">
        <f>1569541.9+986.1+36721.9+7889.6</f>
        <v>1615139.5</v>
      </c>
      <c r="M6" s="18">
        <f>L6/K6*100</f>
        <v>99.978879351514365</v>
      </c>
      <c r="N6" s="20">
        <v>0</v>
      </c>
      <c r="O6" s="18">
        <v>0</v>
      </c>
      <c r="P6" s="18">
        <v>0</v>
      </c>
      <c r="Q6" s="19">
        <f>235492.9+328.9</f>
        <v>235821.8</v>
      </c>
      <c r="R6" s="18">
        <v>235815.1</v>
      </c>
      <c r="S6" s="18">
        <f>R6/Q6*100</f>
        <v>99.997158871656495</v>
      </c>
      <c r="T6" s="20">
        <v>0</v>
      </c>
      <c r="U6" s="18">
        <v>0</v>
      </c>
      <c r="V6" s="18">
        <v>0</v>
      </c>
      <c r="W6" s="19">
        <v>11215.7</v>
      </c>
      <c r="X6" s="20">
        <f>2754.4+8461.3</f>
        <v>11215.699999999999</v>
      </c>
      <c r="Y6" s="18">
        <f>X6/W6*100</f>
        <v>99.999999999999986</v>
      </c>
      <c r="Z6" s="20">
        <v>0</v>
      </c>
      <c r="AA6" s="18">
        <v>0</v>
      </c>
      <c r="AB6" s="18">
        <v>0</v>
      </c>
      <c r="AC6" s="19">
        <v>20959</v>
      </c>
      <c r="AD6" s="18">
        <f>2442+18459.2</f>
        <v>20901.2</v>
      </c>
      <c r="AE6" s="18">
        <f>AD6/AC6*100</f>
        <v>99.724223483944854</v>
      </c>
      <c r="AF6" s="21">
        <f>304213.9-20310</f>
        <v>283903.90000000002</v>
      </c>
      <c r="AG6" s="18">
        <v>283903.90000000002</v>
      </c>
      <c r="AH6" s="18">
        <f>AG6/AF6*100</f>
        <v>100</v>
      </c>
      <c r="AI6" s="19">
        <v>1601824.8</v>
      </c>
      <c r="AJ6" s="18">
        <f>745905+855919.8</f>
        <v>1601824.8</v>
      </c>
      <c r="AK6" s="18">
        <f>AJ6/AI6*100</f>
        <v>100</v>
      </c>
      <c r="AL6" s="19">
        <v>42235.1</v>
      </c>
      <c r="AM6" s="19">
        <v>42235.1</v>
      </c>
      <c r="AN6" s="18">
        <f>AM6/AL6*100</f>
        <v>100</v>
      </c>
      <c r="AO6" s="19">
        <v>1147858</v>
      </c>
      <c r="AP6" s="18">
        <v>1147857.8999999999</v>
      </c>
      <c r="AQ6" s="18">
        <f>AP6/AO6*100</f>
        <v>99.999991288120995</v>
      </c>
      <c r="AR6" s="19">
        <v>439506.3</v>
      </c>
      <c r="AS6" s="22">
        <f>16587+306006.3+73500+43413</f>
        <v>439506.3</v>
      </c>
      <c r="AT6" s="18">
        <f t="shared" ref="AT6:AT7" si="0">AS6/AR6*100</f>
        <v>100</v>
      </c>
      <c r="AU6" s="19">
        <v>6022.9</v>
      </c>
      <c r="AV6" s="18">
        <v>6006.1</v>
      </c>
      <c r="AW6" s="18">
        <f>AV6/AU6*100</f>
        <v>99.72106460343025</v>
      </c>
      <c r="AX6" s="19">
        <v>58997.599999999999</v>
      </c>
      <c r="AY6" s="18">
        <v>58978.3</v>
      </c>
      <c r="AZ6" s="18">
        <f>AY6/AX6*100</f>
        <v>99.967286804886996</v>
      </c>
      <c r="BA6" s="19">
        <f>3788474+566617.7-33736.8</f>
        <v>4321354.9000000004</v>
      </c>
      <c r="BB6" s="18">
        <f>120000+76501.7+2729881+492618.4+333978.5+566617.7</f>
        <v>4319597.3</v>
      </c>
      <c r="BC6" s="18">
        <f>BB6/BA6*100</f>
        <v>99.959327571081914</v>
      </c>
      <c r="BD6" s="22">
        <v>3148.9</v>
      </c>
      <c r="BE6" s="18">
        <v>2105.9</v>
      </c>
      <c r="BF6" s="18">
        <f>BE6/BD6*100</f>
        <v>66.87732223951221</v>
      </c>
      <c r="BG6" s="23">
        <v>0</v>
      </c>
      <c r="BH6" s="18">
        <v>0</v>
      </c>
      <c r="BI6" s="18">
        <v>0</v>
      </c>
      <c r="BJ6" s="21">
        <v>5798.7</v>
      </c>
      <c r="BK6" s="24">
        <v>5798.7</v>
      </c>
      <c r="BL6" s="18">
        <f>BK6/BJ6*100</f>
        <v>100</v>
      </c>
      <c r="BM6" s="19">
        <v>67500</v>
      </c>
      <c r="BN6" s="22">
        <v>67500</v>
      </c>
      <c r="BO6" s="18">
        <f>BN6/BM6*100</f>
        <v>100</v>
      </c>
      <c r="BP6" s="22">
        <v>0</v>
      </c>
      <c r="BQ6" s="22">
        <v>0</v>
      </c>
      <c r="BR6" s="18">
        <v>0</v>
      </c>
      <c r="BS6" s="24">
        <v>0</v>
      </c>
      <c r="BT6" s="22">
        <v>0</v>
      </c>
      <c r="BU6" s="18">
        <v>0</v>
      </c>
      <c r="BV6" s="18">
        <v>99000</v>
      </c>
      <c r="BW6" s="18">
        <v>99000</v>
      </c>
      <c r="BX6" s="18">
        <f>BW6/BV6*100</f>
        <v>100</v>
      </c>
    </row>
    <row r="7" spans="1:76" s="4" customFormat="1" ht="31.2" customHeight="1" x14ac:dyDescent="0.3">
      <c r="A7" s="3" t="s">
        <v>39</v>
      </c>
      <c r="B7" s="18">
        <f t="shared" ref="B7:B27" si="1">E7+H7+K7+N7+Q7+T7+W7+Z7+AC7+AF7+AI7+AL7+AO7+AR7+AU7+AX7+BA7+BD7+BG7+BJ7+BM7+BP7+BS7+BV7</f>
        <v>2024446.4000000001</v>
      </c>
      <c r="C7" s="18">
        <f t="shared" ref="C7:C27" si="2">F7+I7+L7+O7+R7+U7+X7+AA7+AD7+AG7+AJ7+AM7+AP7+AS7+AV7+AY7+BB7+BE7+BH7+BK7+BN7+BQ7+BT7+BW7</f>
        <v>2016952.0999999999</v>
      </c>
      <c r="D7" s="18">
        <f t="shared" ref="D7:D28" si="3">C7/B7*100</f>
        <v>99.629809907538174</v>
      </c>
      <c r="E7" s="19">
        <v>65620.100000000006</v>
      </c>
      <c r="F7" s="18">
        <f>60611.8</f>
        <v>60611.8</v>
      </c>
      <c r="G7" s="18">
        <f>F7/E7*100</f>
        <v>92.367734886109588</v>
      </c>
      <c r="H7" s="19">
        <v>521.79999999999995</v>
      </c>
      <c r="I7" s="19">
        <v>521.79999999999995</v>
      </c>
      <c r="J7" s="18">
        <f t="shared" ref="J7:J28" si="4">I7/H7*100</f>
        <v>100</v>
      </c>
      <c r="K7" s="19">
        <f>1829.7</f>
        <v>1829.7</v>
      </c>
      <c r="L7" s="18">
        <f>1380.6+449</f>
        <v>1829.6</v>
      </c>
      <c r="M7" s="18">
        <f t="shared" ref="M7:M28" si="5">L7/K7*100</f>
        <v>99.994534623162252</v>
      </c>
      <c r="N7" s="20">
        <v>0</v>
      </c>
      <c r="O7" s="18">
        <v>0</v>
      </c>
      <c r="P7" s="18">
        <v>0</v>
      </c>
      <c r="Q7" s="19">
        <v>77200.399999999994</v>
      </c>
      <c r="R7" s="18">
        <v>75854</v>
      </c>
      <c r="S7" s="18">
        <f>R7/Q7*100</f>
        <v>98.255967585660187</v>
      </c>
      <c r="T7" s="20">
        <v>68872.2</v>
      </c>
      <c r="U7" s="20">
        <v>68872.2</v>
      </c>
      <c r="V7" s="18">
        <f t="shared" ref="V7:V9" si="6">U7/T7*100</f>
        <v>100</v>
      </c>
      <c r="W7" s="19">
        <v>505.9</v>
      </c>
      <c r="X7" s="18">
        <v>505.9</v>
      </c>
      <c r="Y7" s="18">
        <f t="shared" ref="Y7:Y28" si="7">X7/W7*100</f>
        <v>100</v>
      </c>
      <c r="Z7" s="20">
        <v>0</v>
      </c>
      <c r="AA7" s="18">
        <v>0</v>
      </c>
      <c r="AB7" s="18">
        <v>0</v>
      </c>
      <c r="AC7" s="19">
        <f>26625-26000</f>
        <v>625</v>
      </c>
      <c r="AD7" s="18">
        <v>625</v>
      </c>
      <c r="AE7" s="18">
        <f>AD7/AC7*100</f>
        <v>100</v>
      </c>
      <c r="AF7" s="21">
        <v>898.5</v>
      </c>
      <c r="AG7" s="18">
        <v>891</v>
      </c>
      <c r="AH7" s="18">
        <f>AG7/AF7*100</f>
        <v>99.165275459098496</v>
      </c>
      <c r="AI7" s="19">
        <v>108746.9</v>
      </c>
      <c r="AJ7" s="18">
        <v>108746.9</v>
      </c>
      <c r="AK7" s="18">
        <f t="shared" ref="AK7:AK28" si="8">AJ7/AI7*100</f>
        <v>100</v>
      </c>
      <c r="AL7" s="19">
        <v>3301.2</v>
      </c>
      <c r="AM7" s="19">
        <v>3301.2</v>
      </c>
      <c r="AN7" s="18">
        <f>AM7/AL7*100</f>
        <v>100</v>
      </c>
      <c r="AO7" s="18" t="s">
        <v>1</v>
      </c>
      <c r="AP7" s="18">
        <v>0</v>
      </c>
      <c r="AQ7" s="18">
        <f t="shared" ref="AQ7:AQ27" si="9">AP7-AO7</f>
        <v>0</v>
      </c>
      <c r="AR7" s="19">
        <f>85569.6-274.7</f>
        <v>85294.900000000009</v>
      </c>
      <c r="AS7" s="22">
        <f>23514.3+40780.6+20999.8</f>
        <v>85294.7</v>
      </c>
      <c r="AT7" s="18">
        <f t="shared" si="0"/>
        <v>99.999765519392113</v>
      </c>
      <c r="AU7" s="19">
        <v>6353.2</v>
      </c>
      <c r="AV7" s="19">
        <v>6353.2</v>
      </c>
      <c r="AW7" s="18">
        <f t="shared" ref="AW7:AW28" si="10">AV7/AU7*100</f>
        <v>100</v>
      </c>
      <c r="AX7" s="19">
        <v>1517.4</v>
      </c>
      <c r="AY7" s="18">
        <v>1517.4</v>
      </c>
      <c r="AZ7" s="18">
        <f t="shared" ref="AZ7:AZ28" si="11">AY7/AX7*100</f>
        <v>100</v>
      </c>
      <c r="BA7" s="19">
        <f>1597104-20177.1</f>
        <v>1576926.9</v>
      </c>
      <c r="BB7" s="18">
        <f>784506.6+323497.3+468898.3</f>
        <v>1576902.2</v>
      </c>
      <c r="BC7" s="18">
        <f t="shared" ref="BC7:BC28" si="12">BB7/BA7*100</f>
        <v>99.998433662334008</v>
      </c>
      <c r="BD7" s="22">
        <v>0</v>
      </c>
      <c r="BE7" s="18">
        <v>0</v>
      </c>
      <c r="BF7" s="18">
        <v>0</v>
      </c>
      <c r="BG7" s="19">
        <f>7310.8-1579.5</f>
        <v>5731.3</v>
      </c>
      <c r="BH7" s="18">
        <v>4633.7</v>
      </c>
      <c r="BI7" s="18">
        <f t="shared" ref="BI7:BI28" si="13">BH7/BG7*100</f>
        <v>80.84902203688516</v>
      </c>
      <c r="BJ7" s="21">
        <v>1942.8</v>
      </c>
      <c r="BK7" s="24">
        <v>1942.8</v>
      </c>
      <c r="BL7" s="18">
        <f>BK7/BJ7*100</f>
        <v>100</v>
      </c>
      <c r="BM7" s="19">
        <v>10000</v>
      </c>
      <c r="BN7" s="22">
        <v>10000</v>
      </c>
      <c r="BO7" s="18">
        <f t="shared" ref="BO7:BO28" si="14">BN7/BM7*100</f>
        <v>100</v>
      </c>
      <c r="BP7" s="19">
        <v>8558.2000000000007</v>
      </c>
      <c r="BQ7" s="22">
        <v>8548.7000000000007</v>
      </c>
      <c r="BR7" s="18">
        <f>BQ7/BP7*100</f>
        <v>99.888995349489377</v>
      </c>
      <c r="BS7" s="24">
        <v>0</v>
      </c>
      <c r="BT7" s="22">
        <v>0</v>
      </c>
      <c r="BU7" s="18">
        <v>0</v>
      </c>
      <c r="BV7" s="18"/>
      <c r="BW7" s="18"/>
      <c r="BX7" s="18" t="s">
        <v>16</v>
      </c>
    </row>
    <row r="8" spans="1:76" s="4" customFormat="1" ht="15.6" x14ac:dyDescent="0.3">
      <c r="A8" s="3" t="s">
        <v>40</v>
      </c>
      <c r="B8" s="18">
        <f t="shared" si="1"/>
        <v>2823526.3999999994</v>
      </c>
      <c r="C8" s="18">
        <f t="shared" si="2"/>
        <v>2735503.4</v>
      </c>
      <c r="D8" s="18">
        <f t="shared" si="3"/>
        <v>96.882515424683135</v>
      </c>
      <c r="E8" s="19">
        <v>41826.699999999997</v>
      </c>
      <c r="F8" s="18">
        <v>41792.5</v>
      </c>
      <c r="G8" s="18">
        <f t="shared" ref="G8:G28" si="15">F8/E8*100</f>
        <v>99.918234046673547</v>
      </c>
      <c r="H8" s="19">
        <v>946</v>
      </c>
      <c r="I8" s="19">
        <v>946</v>
      </c>
      <c r="J8" s="18">
        <f t="shared" si="4"/>
        <v>100</v>
      </c>
      <c r="K8" s="19">
        <f>250271.7+22619.1</f>
        <v>272890.8</v>
      </c>
      <c r="L8" s="18">
        <f>56476.7+155515.8+55782.2+2503.8</f>
        <v>270278.5</v>
      </c>
      <c r="M8" s="18">
        <f t="shared" si="5"/>
        <v>99.042730645371705</v>
      </c>
      <c r="N8" s="20">
        <v>0</v>
      </c>
      <c r="O8" s="18">
        <v>0</v>
      </c>
      <c r="P8" s="18">
        <v>0</v>
      </c>
      <c r="Q8" s="19">
        <v>388090</v>
      </c>
      <c r="R8" s="18">
        <v>386780.8</v>
      </c>
      <c r="S8" s="18">
        <f t="shared" ref="S8:S28" si="16">R8/Q8*100</f>
        <v>99.662655569584373</v>
      </c>
      <c r="T8" s="20">
        <v>4617.1000000000004</v>
      </c>
      <c r="U8" s="20">
        <v>4617.1000000000004</v>
      </c>
      <c r="V8" s="18">
        <f t="shared" si="6"/>
        <v>100</v>
      </c>
      <c r="W8" s="19">
        <v>2691.8</v>
      </c>
      <c r="X8" s="18">
        <v>2691.8</v>
      </c>
      <c r="Y8" s="18">
        <f t="shared" si="7"/>
        <v>100</v>
      </c>
      <c r="Z8" s="20">
        <v>0</v>
      </c>
      <c r="AA8" s="18">
        <v>0</v>
      </c>
      <c r="AB8" s="18">
        <v>0</v>
      </c>
      <c r="AC8" s="19">
        <f>64841.9-6000</f>
        <v>58841.9</v>
      </c>
      <c r="AD8" s="18">
        <f>12112.2+46729.7</f>
        <v>58841.899999999994</v>
      </c>
      <c r="AE8" s="18">
        <f t="shared" ref="AE8:AE28" si="17">AD8/AC8*100</f>
        <v>99.999999999999986</v>
      </c>
      <c r="AF8" s="21">
        <v>1633.5</v>
      </c>
      <c r="AG8" s="21">
        <v>1633.5</v>
      </c>
      <c r="AH8" s="18">
        <f t="shared" ref="AH8:AH28" si="18">AG8/AF8*100</f>
        <v>100</v>
      </c>
      <c r="AI8" s="19">
        <v>90230.3</v>
      </c>
      <c r="AJ8" s="19">
        <v>90230.3</v>
      </c>
      <c r="AK8" s="18">
        <f t="shared" si="8"/>
        <v>100</v>
      </c>
      <c r="AL8" s="19">
        <v>18087.599999999999</v>
      </c>
      <c r="AM8" s="19">
        <v>18087.599999999999</v>
      </c>
      <c r="AN8" s="18">
        <f t="shared" ref="AN8:AN26" si="19">AM8/AL8*100</f>
        <v>100</v>
      </c>
      <c r="AO8" s="18" t="s">
        <v>1</v>
      </c>
      <c r="AP8" s="18">
        <v>0</v>
      </c>
      <c r="AQ8" s="18">
        <f t="shared" si="9"/>
        <v>0</v>
      </c>
      <c r="AR8" s="19">
        <v>81059.600000000006</v>
      </c>
      <c r="AS8" s="22">
        <f>6256.6+34378.6+27027.5+13396.8</f>
        <v>81059.5</v>
      </c>
      <c r="AT8" s="18">
        <f>AS8/AR8*100</f>
        <v>99.999876633982893</v>
      </c>
      <c r="AU8" s="19">
        <v>13382.7</v>
      </c>
      <c r="AV8" s="19">
        <v>13382.7</v>
      </c>
      <c r="AW8" s="18">
        <f t="shared" si="10"/>
        <v>100</v>
      </c>
      <c r="AX8" s="19">
        <v>6119.7</v>
      </c>
      <c r="AY8" s="18">
        <v>6119.7</v>
      </c>
      <c r="AZ8" s="18">
        <f t="shared" si="11"/>
        <v>100</v>
      </c>
      <c r="BA8" s="19">
        <f>1792044.4-1328</f>
        <v>1790716.4</v>
      </c>
      <c r="BB8" s="18">
        <v>1732132.4</v>
      </c>
      <c r="BC8" s="18">
        <f t="shared" si="12"/>
        <v>96.728460184985181</v>
      </c>
      <c r="BD8" s="22">
        <v>0</v>
      </c>
      <c r="BE8" s="18">
        <v>0</v>
      </c>
      <c r="BF8" s="18">
        <v>0</v>
      </c>
      <c r="BG8" s="19">
        <f>7506.1</f>
        <v>7506.1</v>
      </c>
      <c r="BH8" s="18">
        <f>3753+0</f>
        <v>3753</v>
      </c>
      <c r="BI8" s="18">
        <f t="shared" si="13"/>
        <v>49.999333875114907</v>
      </c>
      <c r="BJ8" s="24">
        <v>0</v>
      </c>
      <c r="BK8" s="24">
        <v>0</v>
      </c>
      <c r="BL8" s="18">
        <v>0</v>
      </c>
      <c r="BM8" s="19">
        <v>22135.8</v>
      </c>
      <c r="BN8" s="22">
        <v>22135.7</v>
      </c>
      <c r="BO8" s="18">
        <f t="shared" si="14"/>
        <v>99.999548243117488</v>
      </c>
      <c r="BP8" s="22">
        <v>0</v>
      </c>
      <c r="BQ8" s="22">
        <v>0</v>
      </c>
      <c r="BR8" s="18">
        <v>0</v>
      </c>
      <c r="BS8" s="21">
        <v>1020.4</v>
      </c>
      <c r="BT8" s="22">
        <v>1020.4</v>
      </c>
      <c r="BU8" s="18">
        <f>BT8/BS8*100</f>
        <v>100</v>
      </c>
      <c r="BV8" s="18">
        <v>21730</v>
      </c>
      <c r="BW8" s="18">
        <v>0</v>
      </c>
      <c r="BX8" s="18">
        <f t="shared" ref="BX8:BX26" si="20">BW8/BV8*100</f>
        <v>0</v>
      </c>
    </row>
    <row r="9" spans="1:76" s="4" customFormat="1" ht="15.6" x14ac:dyDescent="0.3">
      <c r="A9" s="3" t="s">
        <v>41</v>
      </c>
      <c r="B9" s="18">
        <f t="shared" si="1"/>
        <v>3671076.0999999996</v>
      </c>
      <c r="C9" s="18">
        <f t="shared" si="2"/>
        <v>3657483.3999999994</v>
      </c>
      <c r="D9" s="18">
        <f t="shared" si="3"/>
        <v>99.62973527026584</v>
      </c>
      <c r="E9" s="19">
        <f>312249.5+12870</f>
        <v>325119.5</v>
      </c>
      <c r="F9" s="18">
        <f>63791.6+258469</f>
        <v>322260.59999999998</v>
      </c>
      <c r="G9" s="18">
        <f t="shared" si="15"/>
        <v>99.120661787435068</v>
      </c>
      <c r="H9" s="19">
        <v>1204.5999999999999</v>
      </c>
      <c r="I9" s="19">
        <v>1204.5999999999999</v>
      </c>
      <c r="J9" s="18">
        <f t="shared" si="4"/>
        <v>100</v>
      </c>
      <c r="K9" s="19">
        <f>311611.3+5934.6</f>
        <v>317545.89999999997</v>
      </c>
      <c r="L9" s="18">
        <f>154769.6+107493.5+32607+22533.9</f>
        <v>317404</v>
      </c>
      <c r="M9" s="18">
        <f t="shared" si="5"/>
        <v>99.955313546797498</v>
      </c>
      <c r="N9" s="20">
        <v>0</v>
      </c>
      <c r="O9" s="18">
        <v>0</v>
      </c>
      <c r="P9" s="18">
        <v>0</v>
      </c>
      <c r="Q9" s="19">
        <v>308333.90000000002</v>
      </c>
      <c r="R9" s="18">
        <v>308333.8</v>
      </c>
      <c r="S9" s="18">
        <f t="shared" si="16"/>
        <v>99.999967567627152</v>
      </c>
      <c r="T9" s="20">
        <v>8020</v>
      </c>
      <c r="U9" s="20">
        <v>8020</v>
      </c>
      <c r="V9" s="18">
        <f t="shared" si="6"/>
        <v>100</v>
      </c>
      <c r="W9" s="19">
        <v>18793.7</v>
      </c>
      <c r="X9" s="18">
        <f>10449.3+8344.4</f>
        <v>18793.699999999997</v>
      </c>
      <c r="Y9" s="18">
        <f t="shared" si="7"/>
        <v>99.999999999999972</v>
      </c>
      <c r="Z9" s="20">
        <v>0</v>
      </c>
      <c r="AA9" s="18">
        <v>0</v>
      </c>
      <c r="AB9" s="18">
        <v>0</v>
      </c>
      <c r="AC9" s="19">
        <v>7848.7</v>
      </c>
      <c r="AD9" s="19">
        <v>7848.6</v>
      </c>
      <c r="AE9" s="18">
        <f t="shared" si="17"/>
        <v>99.99872590365284</v>
      </c>
      <c r="AF9" s="21">
        <f>51795.1-13078.2</f>
        <v>38716.899999999994</v>
      </c>
      <c r="AG9" s="18">
        <v>38716.9</v>
      </c>
      <c r="AH9" s="18">
        <f t="shared" si="18"/>
        <v>100.00000000000003</v>
      </c>
      <c r="AI9" s="19">
        <v>170209.7</v>
      </c>
      <c r="AJ9" s="19">
        <v>170209.7</v>
      </c>
      <c r="AK9" s="18">
        <f t="shared" si="8"/>
        <v>100</v>
      </c>
      <c r="AL9" s="19">
        <v>17231.5</v>
      </c>
      <c r="AM9" s="19">
        <v>17231.5</v>
      </c>
      <c r="AN9" s="18">
        <f t="shared" si="19"/>
        <v>100</v>
      </c>
      <c r="AO9" s="18" t="s">
        <v>1</v>
      </c>
      <c r="AP9" s="18">
        <v>0</v>
      </c>
      <c r="AQ9" s="18">
        <f t="shared" si="9"/>
        <v>0</v>
      </c>
      <c r="AR9" s="19">
        <f>66163.7-858.3</f>
        <v>65305.399999999994</v>
      </c>
      <c r="AS9" s="22">
        <f>29507.6+33695.8+2101.8</f>
        <v>65305.200000000004</v>
      </c>
      <c r="AT9" s="18">
        <f t="shared" ref="AT9:AT23" si="21">AS9/AR9*100</f>
        <v>99.999693746612081</v>
      </c>
      <c r="AU9" s="19">
        <v>12152.8</v>
      </c>
      <c r="AV9" s="19">
        <v>12152.8</v>
      </c>
      <c r="AW9" s="18">
        <f t="shared" si="10"/>
        <v>100</v>
      </c>
      <c r="AX9" s="19">
        <v>12039.8</v>
      </c>
      <c r="AY9" s="19">
        <v>12039.8</v>
      </c>
      <c r="AZ9" s="18">
        <f t="shared" si="11"/>
        <v>100</v>
      </c>
      <c r="BA9" s="19">
        <f>2102458-6799.4</f>
        <v>2095658.6</v>
      </c>
      <c r="BB9" s="18">
        <f>1279373.3+465239.7+346990.6</f>
        <v>2091603.6</v>
      </c>
      <c r="BC9" s="18">
        <f t="shared" si="12"/>
        <v>99.806504742709521</v>
      </c>
      <c r="BD9" s="22">
        <v>0</v>
      </c>
      <c r="BE9" s="18">
        <v>0</v>
      </c>
      <c r="BF9" s="18">
        <v>0</v>
      </c>
      <c r="BG9" s="19">
        <v>14569.3</v>
      </c>
      <c r="BH9" s="18">
        <f>6535.9+1496.9</f>
        <v>8032.7999999999993</v>
      </c>
      <c r="BI9" s="18">
        <f t="shared" si="13"/>
        <v>55.135112874331639</v>
      </c>
      <c r="BJ9" s="21">
        <v>612.5</v>
      </c>
      <c r="BK9" s="24">
        <v>612.5</v>
      </c>
      <c r="BL9" s="18">
        <f>BK9/BJ9*100</f>
        <v>100</v>
      </c>
      <c r="BM9" s="19">
        <v>27431.5</v>
      </c>
      <c r="BN9" s="22">
        <v>27431.5</v>
      </c>
      <c r="BO9" s="18">
        <f t="shared" si="14"/>
        <v>100</v>
      </c>
      <c r="BP9" s="19">
        <v>9565.4</v>
      </c>
      <c r="BQ9" s="19">
        <v>9565.4</v>
      </c>
      <c r="BR9" s="18">
        <f t="shared" ref="BR9:BR28" si="22">BQ9/BP9*100</f>
        <v>100</v>
      </c>
      <c r="BS9" s="21">
        <v>1020.4</v>
      </c>
      <c r="BT9" s="22">
        <v>1020.4</v>
      </c>
      <c r="BU9" s="18">
        <f t="shared" ref="BU9:BU22" si="23">BT9/BS9*100</f>
        <v>100</v>
      </c>
      <c r="BV9" s="18">
        <v>219696</v>
      </c>
      <c r="BW9" s="18">
        <v>219696</v>
      </c>
      <c r="BX9" s="18">
        <f t="shared" si="20"/>
        <v>100</v>
      </c>
    </row>
    <row r="10" spans="1:76" s="4" customFormat="1" ht="18.600000000000001" customHeight="1" x14ac:dyDescent="0.3">
      <c r="A10" s="3" t="s">
        <v>21</v>
      </c>
      <c r="B10" s="18">
        <f t="shared" si="1"/>
        <v>1696015.5</v>
      </c>
      <c r="C10" s="18">
        <f t="shared" si="2"/>
        <v>1686297.9999999998</v>
      </c>
      <c r="D10" s="18">
        <f t="shared" si="3"/>
        <v>99.427039434486289</v>
      </c>
      <c r="E10" s="19">
        <v>45075.199999999997</v>
      </c>
      <c r="F10" s="18">
        <v>38922.5</v>
      </c>
      <c r="G10" s="18">
        <f t="shared" si="15"/>
        <v>86.350143759761465</v>
      </c>
      <c r="H10" s="19">
        <v>781.4</v>
      </c>
      <c r="I10" s="19">
        <v>781.4</v>
      </c>
      <c r="J10" s="18">
        <f t="shared" si="4"/>
        <v>100</v>
      </c>
      <c r="K10" s="19">
        <f>67294.1-8996.3</f>
        <v>58297.8</v>
      </c>
      <c r="L10" s="18">
        <f>32277.8+18626.6+3205.3+4182.5</f>
        <v>58292.2</v>
      </c>
      <c r="M10" s="18">
        <f t="shared" si="5"/>
        <v>99.990394148664265</v>
      </c>
      <c r="N10" s="20">
        <v>0</v>
      </c>
      <c r="O10" s="18">
        <v>0</v>
      </c>
      <c r="P10" s="18">
        <v>0</v>
      </c>
      <c r="Q10" s="19">
        <v>46904.5</v>
      </c>
      <c r="R10" s="18">
        <v>46904.4</v>
      </c>
      <c r="S10" s="18">
        <f t="shared" si="16"/>
        <v>99.999786800840013</v>
      </c>
      <c r="T10" s="20">
        <v>0</v>
      </c>
      <c r="U10" s="18">
        <v>0</v>
      </c>
      <c r="V10" s="18">
        <v>0</v>
      </c>
      <c r="W10" s="19">
        <v>40647.5</v>
      </c>
      <c r="X10" s="18">
        <v>40641.4</v>
      </c>
      <c r="Y10" s="18">
        <f t="shared" si="7"/>
        <v>99.984992926994281</v>
      </c>
      <c r="Z10" s="20">
        <v>0</v>
      </c>
      <c r="AA10" s="18">
        <v>0</v>
      </c>
      <c r="AB10" s="18">
        <v>0</v>
      </c>
      <c r="AC10" s="19">
        <v>26539.3</v>
      </c>
      <c r="AD10" s="19">
        <v>26539.200000000001</v>
      </c>
      <c r="AE10" s="18">
        <f t="shared" si="17"/>
        <v>99.999623200310481</v>
      </c>
      <c r="AF10" s="21">
        <v>15209.7</v>
      </c>
      <c r="AG10" s="18">
        <v>14887.7</v>
      </c>
      <c r="AH10" s="18">
        <f t="shared" si="18"/>
        <v>97.882929972320298</v>
      </c>
      <c r="AI10" s="19">
        <v>199167.7</v>
      </c>
      <c r="AJ10" s="19">
        <v>199167.6</v>
      </c>
      <c r="AK10" s="18">
        <f t="shared" si="8"/>
        <v>99.999949791055471</v>
      </c>
      <c r="AL10" s="19">
        <v>25204.1</v>
      </c>
      <c r="AM10" s="19">
        <v>25204.1</v>
      </c>
      <c r="AN10" s="18">
        <f t="shared" si="19"/>
        <v>100</v>
      </c>
      <c r="AO10" s="18" t="s">
        <v>1</v>
      </c>
      <c r="AP10" s="18">
        <v>0</v>
      </c>
      <c r="AQ10" s="18">
        <f t="shared" si="9"/>
        <v>0</v>
      </c>
      <c r="AR10" s="19">
        <v>79520.3</v>
      </c>
      <c r="AS10" s="22">
        <f>15024.6+32652.6+14000+17843.1</f>
        <v>79520.299999999988</v>
      </c>
      <c r="AT10" s="18">
        <f t="shared" si="21"/>
        <v>99.999999999999972</v>
      </c>
      <c r="AU10" s="19">
        <v>4027.1</v>
      </c>
      <c r="AV10" s="19">
        <v>4027.1</v>
      </c>
      <c r="AW10" s="18">
        <f t="shared" si="10"/>
        <v>100</v>
      </c>
      <c r="AX10" s="19">
        <v>2719.7</v>
      </c>
      <c r="AY10" s="19">
        <v>2719.7</v>
      </c>
      <c r="AZ10" s="18">
        <f t="shared" si="11"/>
        <v>100</v>
      </c>
      <c r="BA10" s="19">
        <v>1123734.3</v>
      </c>
      <c r="BB10" s="18">
        <v>1123690.3999999999</v>
      </c>
      <c r="BC10" s="18">
        <f t="shared" si="12"/>
        <v>99.99609338257271</v>
      </c>
      <c r="BD10" s="22">
        <v>0</v>
      </c>
      <c r="BE10" s="18">
        <v>0</v>
      </c>
      <c r="BF10" s="18">
        <v>0</v>
      </c>
      <c r="BG10" s="19">
        <v>6372.9</v>
      </c>
      <c r="BH10" s="18">
        <f>3186.2+0</f>
        <v>3186.2</v>
      </c>
      <c r="BI10" s="18">
        <f t="shared" si="13"/>
        <v>49.996077139136034</v>
      </c>
      <c r="BJ10" s="24">
        <v>0</v>
      </c>
      <c r="BK10" s="24">
        <v>0</v>
      </c>
      <c r="BL10" s="18">
        <v>0</v>
      </c>
      <c r="BM10" s="19">
        <v>9625</v>
      </c>
      <c r="BN10" s="22">
        <v>9624.9</v>
      </c>
      <c r="BO10" s="18">
        <f t="shared" si="14"/>
        <v>99.998961038961028</v>
      </c>
      <c r="BP10" s="19">
        <v>12189</v>
      </c>
      <c r="BQ10" s="22">
        <v>12188.9</v>
      </c>
      <c r="BR10" s="18">
        <f t="shared" si="22"/>
        <v>99.999179588153254</v>
      </c>
      <c r="BS10" s="24">
        <v>0</v>
      </c>
      <c r="BT10" s="22">
        <v>0</v>
      </c>
      <c r="BU10" s="18">
        <v>0</v>
      </c>
      <c r="BV10" s="18"/>
      <c r="BW10" s="18"/>
      <c r="BX10" s="18" t="s">
        <v>16</v>
      </c>
    </row>
    <row r="11" spans="1:76" s="4" customFormat="1" ht="18" customHeight="1" x14ac:dyDescent="0.3">
      <c r="A11" s="3" t="s">
        <v>2</v>
      </c>
      <c r="B11" s="18">
        <f t="shared" si="1"/>
        <v>2269801.4</v>
      </c>
      <c r="C11" s="18">
        <f t="shared" si="2"/>
        <v>2194979.2999999998</v>
      </c>
      <c r="D11" s="18">
        <f t="shared" si="3"/>
        <v>96.703583846586753</v>
      </c>
      <c r="E11" s="19">
        <f>244160.9</f>
        <v>244160.9</v>
      </c>
      <c r="F11" s="18">
        <f>44115.4+136931.3+6936.1+983.4</f>
        <v>188966.19999999998</v>
      </c>
      <c r="G11" s="18">
        <f t="shared" si="15"/>
        <v>77.394128216270502</v>
      </c>
      <c r="H11" s="19">
        <v>1076.2</v>
      </c>
      <c r="I11" s="19">
        <v>1076.2</v>
      </c>
      <c r="J11" s="18">
        <f t="shared" si="4"/>
        <v>100</v>
      </c>
      <c r="K11" s="19">
        <f>428339.2+11800.8</f>
        <v>440140</v>
      </c>
      <c r="L11" s="18">
        <f>13507.4+252928.8+173467.9</f>
        <v>439904.1</v>
      </c>
      <c r="M11" s="18">
        <f t="shared" si="5"/>
        <v>99.946403417094558</v>
      </c>
      <c r="N11" s="20">
        <v>0</v>
      </c>
      <c r="O11" s="18">
        <v>0</v>
      </c>
      <c r="P11" s="18">
        <v>0</v>
      </c>
      <c r="Q11" s="19">
        <f>110215.1+862.3</f>
        <v>111077.40000000001</v>
      </c>
      <c r="R11" s="18">
        <v>105847.7</v>
      </c>
      <c r="S11" s="18">
        <f t="shared" si="16"/>
        <v>95.291841544724662</v>
      </c>
      <c r="T11" s="20">
        <v>0</v>
      </c>
      <c r="U11" s="18">
        <v>0</v>
      </c>
      <c r="V11" s="18">
        <v>0</v>
      </c>
      <c r="W11" s="19">
        <f>45300.4-5754.3</f>
        <v>39546.1</v>
      </c>
      <c r="X11" s="18">
        <f>39534.4</f>
        <v>39534.400000000001</v>
      </c>
      <c r="Y11" s="18">
        <f t="shared" si="7"/>
        <v>99.970414275996873</v>
      </c>
      <c r="Z11" s="20">
        <v>0</v>
      </c>
      <c r="AA11" s="18">
        <v>0</v>
      </c>
      <c r="AB11" s="18">
        <v>0</v>
      </c>
      <c r="AC11" s="19">
        <f>94250.2</f>
        <v>94250.2</v>
      </c>
      <c r="AD11" s="20">
        <f>85606.5</f>
        <v>85606.5</v>
      </c>
      <c r="AE11" s="18">
        <f t="shared" si="17"/>
        <v>90.828984978281213</v>
      </c>
      <c r="AF11" s="24">
        <v>0</v>
      </c>
      <c r="AG11" s="18">
        <v>0</v>
      </c>
      <c r="AH11" s="18">
        <v>0</v>
      </c>
      <c r="AI11" s="19">
        <v>59781.5</v>
      </c>
      <c r="AJ11" s="19">
        <v>59781.5</v>
      </c>
      <c r="AK11" s="18">
        <f t="shared" si="8"/>
        <v>100</v>
      </c>
      <c r="AL11" s="19">
        <v>12263.8</v>
      </c>
      <c r="AM11" s="19">
        <v>12263.8</v>
      </c>
      <c r="AN11" s="18">
        <f t="shared" si="19"/>
        <v>100</v>
      </c>
      <c r="AO11" s="18" t="s">
        <v>1</v>
      </c>
      <c r="AP11" s="18">
        <v>0</v>
      </c>
      <c r="AQ11" s="18">
        <f t="shared" si="9"/>
        <v>0</v>
      </c>
      <c r="AR11" s="19">
        <v>102883.4</v>
      </c>
      <c r="AS11" s="22">
        <f>8277.8+40158.5+17408.9+37037.9</f>
        <v>102883.1</v>
      </c>
      <c r="AT11" s="18">
        <f t="shared" si="21"/>
        <v>99.999708407770356</v>
      </c>
      <c r="AU11" s="19">
        <v>13206.2</v>
      </c>
      <c r="AV11" s="19">
        <v>13206.2</v>
      </c>
      <c r="AW11" s="18">
        <f t="shared" si="10"/>
        <v>100</v>
      </c>
      <c r="AX11" s="19">
        <v>2743.2</v>
      </c>
      <c r="AY11" s="19">
        <v>2743.2</v>
      </c>
      <c r="AZ11" s="18">
        <f t="shared" si="11"/>
        <v>100</v>
      </c>
      <c r="BA11" s="19">
        <f>1087473.9+32114.4</f>
        <v>1119588.2999999998</v>
      </c>
      <c r="BB11" s="18">
        <v>1119588.1000000001</v>
      </c>
      <c r="BC11" s="18">
        <f t="shared" si="12"/>
        <v>99.999982136290654</v>
      </c>
      <c r="BD11" s="22">
        <v>0</v>
      </c>
      <c r="BE11" s="18">
        <v>0</v>
      </c>
      <c r="BF11" s="18">
        <v>0</v>
      </c>
      <c r="BG11" s="19">
        <v>11011.6</v>
      </c>
      <c r="BH11" s="18">
        <v>5505.8</v>
      </c>
      <c r="BI11" s="18">
        <f t="shared" si="13"/>
        <v>50</v>
      </c>
      <c r="BJ11" s="21">
        <v>2519</v>
      </c>
      <c r="BK11" s="24">
        <v>2519</v>
      </c>
      <c r="BL11" s="18">
        <f t="shared" ref="BL11:BL12" si="24">BK11/BJ11*100</f>
        <v>100</v>
      </c>
      <c r="BM11" s="19">
        <v>12500</v>
      </c>
      <c r="BN11" s="22">
        <v>12500</v>
      </c>
      <c r="BO11" s="18">
        <f t="shared" si="14"/>
        <v>100</v>
      </c>
      <c r="BP11" s="19">
        <v>3053.6</v>
      </c>
      <c r="BQ11" s="22">
        <v>3053.5</v>
      </c>
      <c r="BR11" s="18">
        <f t="shared" si="22"/>
        <v>99.996725176840457</v>
      </c>
      <c r="BS11" s="24">
        <v>0</v>
      </c>
      <c r="BT11" s="22">
        <v>0</v>
      </c>
      <c r="BU11" s="18">
        <v>0</v>
      </c>
      <c r="BV11" s="18"/>
      <c r="BW11" s="18"/>
      <c r="BX11" s="18" t="s">
        <v>16</v>
      </c>
    </row>
    <row r="12" spans="1:76" s="4" customFormat="1" ht="18.600000000000001" customHeight="1" x14ac:dyDescent="0.3">
      <c r="A12" s="3" t="s">
        <v>3</v>
      </c>
      <c r="B12" s="18">
        <f t="shared" si="1"/>
        <v>1440080.3</v>
      </c>
      <c r="C12" s="18">
        <f t="shared" si="2"/>
        <v>1433738.0999999999</v>
      </c>
      <c r="D12" s="18">
        <f t="shared" si="3"/>
        <v>99.5595940031955</v>
      </c>
      <c r="E12" s="19">
        <f>45025.8+1656.6</f>
        <v>46682.400000000001</v>
      </c>
      <c r="F12" s="18">
        <f>26225+20120.5</f>
        <v>46345.5</v>
      </c>
      <c r="G12" s="18">
        <f t="shared" si="15"/>
        <v>99.278314739602067</v>
      </c>
      <c r="H12" s="19">
        <v>1002.7</v>
      </c>
      <c r="I12" s="19">
        <v>1002.7</v>
      </c>
      <c r="J12" s="18">
        <f t="shared" si="4"/>
        <v>100</v>
      </c>
      <c r="K12" s="19">
        <v>169900.9</v>
      </c>
      <c r="L12" s="18">
        <f>19419.6+131691.5+18041.3+748.3</f>
        <v>169900.69999999998</v>
      </c>
      <c r="M12" s="18">
        <f t="shared" si="5"/>
        <v>99.999882284319852</v>
      </c>
      <c r="N12" s="20">
        <v>0</v>
      </c>
      <c r="O12" s="18">
        <v>0</v>
      </c>
      <c r="P12" s="18">
        <v>0</v>
      </c>
      <c r="Q12" s="19">
        <f>63455.8+1985.2</f>
        <v>65441</v>
      </c>
      <c r="R12" s="18">
        <v>65441</v>
      </c>
      <c r="S12" s="18">
        <f t="shared" si="16"/>
        <v>100</v>
      </c>
      <c r="T12" s="20">
        <v>0</v>
      </c>
      <c r="U12" s="18">
        <v>0</v>
      </c>
      <c r="V12" s="18">
        <v>0</v>
      </c>
      <c r="W12" s="19">
        <v>72628.100000000006</v>
      </c>
      <c r="X12" s="19">
        <v>72628.100000000006</v>
      </c>
      <c r="Y12" s="18">
        <f t="shared" si="7"/>
        <v>100</v>
      </c>
      <c r="Z12" s="20">
        <v>0</v>
      </c>
      <c r="AA12" s="18">
        <v>0</v>
      </c>
      <c r="AB12" s="18">
        <v>0</v>
      </c>
      <c r="AC12" s="19">
        <v>2225</v>
      </c>
      <c r="AD12" s="19">
        <v>2225</v>
      </c>
      <c r="AE12" s="18">
        <f t="shared" si="17"/>
        <v>100</v>
      </c>
      <c r="AF12" s="21">
        <v>1485</v>
      </c>
      <c r="AG12" s="21">
        <v>1485</v>
      </c>
      <c r="AH12" s="18">
        <f t="shared" si="18"/>
        <v>100</v>
      </c>
      <c r="AI12" s="19">
        <v>83432.5</v>
      </c>
      <c r="AJ12" s="19">
        <v>83432.5</v>
      </c>
      <c r="AK12" s="18">
        <f t="shared" si="8"/>
        <v>100</v>
      </c>
      <c r="AL12" s="19">
        <v>6981.2</v>
      </c>
      <c r="AM12" s="19">
        <v>6981.2</v>
      </c>
      <c r="AN12" s="18">
        <f t="shared" si="19"/>
        <v>100</v>
      </c>
      <c r="AO12" s="18" t="s">
        <v>1</v>
      </c>
      <c r="AP12" s="18">
        <v>0</v>
      </c>
      <c r="AQ12" s="18">
        <f t="shared" si="9"/>
        <v>0</v>
      </c>
      <c r="AR12" s="19">
        <f>26341-1.2</f>
        <v>26339.8</v>
      </c>
      <c r="AS12" s="22">
        <f>21000+5339.8</f>
        <v>26339.8</v>
      </c>
      <c r="AT12" s="18">
        <f t="shared" si="21"/>
        <v>100</v>
      </c>
      <c r="AU12" s="19">
        <v>17447.2</v>
      </c>
      <c r="AV12" s="20">
        <v>17447.099999999999</v>
      </c>
      <c r="AW12" s="18">
        <f t="shared" si="10"/>
        <v>99.999426842129381</v>
      </c>
      <c r="AX12" s="19">
        <v>5314.5</v>
      </c>
      <c r="AY12" s="19">
        <v>5314.5</v>
      </c>
      <c r="AZ12" s="18">
        <f t="shared" si="11"/>
        <v>100</v>
      </c>
      <c r="BA12" s="19">
        <v>889466.5</v>
      </c>
      <c r="BB12" s="18">
        <v>889466.3</v>
      </c>
      <c r="BC12" s="18">
        <f t="shared" si="12"/>
        <v>99.999977514611288</v>
      </c>
      <c r="BD12" s="22">
        <v>0</v>
      </c>
      <c r="BE12" s="18">
        <v>0</v>
      </c>
      <c r="BF12" s="18">
        <v>0</v>
      </c>
      <c r="BG12" s="19">
        <v>13360.2</v>
      </c>
      <c r="BH12" s="18">
        <f>6003.1+1353.4</f>
        <v>7356.5</v>
      </c>
      <c r="BI12" s="18">
        <f t="shared" si="13"/>
        <v>55.062798461100883</v>
      </c>
      <c r="BJ12" s="21">
        <v>4919.5</v>
      </c>
      <c r="BK12" s="21">
        <v>4919.5</v>
      </c>
      <c r="BL12" s="18">
        <f t="shared" si="24"/>
        <v>100</v>
      </c>
      <c r="BM12" s="19">
        <v>22892</v>
      </c>
      <c r="BN12" s="22">
        <v>22891</v>
      </c>
      <c r="BO12" s="18">
        <f t="shared" si="14"/>
        <v>99.995631661715876</v>
      </c>
      <c r="BP12" s="19">
        <v>9541.5</v>
      </c>
      <c r="BQ12" s="22">
        <v>9541.4</v>
      </c>
      <c r="BR12" s="18">
        <f t="shared" si="22"/>
        <v>99.998951946758893</v>
      </c>
      <c r="BS12" s="21">
        <v>1020.3</v>
      </c>
      <c r="BT12" s="22">
        <v>1020.3</v>
      </c>
      <c r="BU12" s="18">
        <f t="shared" si="23"/>
        <v>100</v>
      </c>
      <c r="BV12" s="18"/>
      <c r="BW12" s="18"/>
      <c r="BX12" s="18" t="s">
        <v>16</v>
      </c>
    </row>
    <row r="13" spans="1:76" s="4" customFormat="1" ht="18.600000000000001" customHeight="1" x14ac:dyDescent="0.3">
      <c r="A13" s="3" t="s">
        <v>22</v>
      </c>
      <c r="B13" s="18">
        <f t="shared" si="1"/>
        <v>2709014.2000000007</v>
      </c>
      <c r="C13" s="18">
        <f t="shared" si="2"/>
        <v>2703932.0000000005</v>
      </c>
      <c r="D13" s="18">
        <f t="shared" si="3"/>
        <v>99.812396701353563</v>
      </c>
      <c r="E13" s="19">
        <f>217816.5+8679.6</f>
        <v>226496.1</v>
      </c>
      <c r="F13" s="18">
        <f>176919+45638.3</f>
        <v>222557.3</v>
      </c>
      <c r="G13" s="18">
        <f t="shared" si="15"/>
        <v>98.260985509242758</v>
      </c>
      <c r="H13" s="19">
        <v>797.2</v>
      </c>
      <c r="I13" s="19">
        <v>797.2</v>
      </c>
      <c r="J13" s="18">
        <f t="shared" si="4"/>
        <v>100</v>
      </c>
      <c r="K13" s="19">
        <v>91678</v>
      </c>
      <c r="L13" s="18">
        <f>43326.3+27723.3+18795.5+1832.5</f>
        <v>91677.6</v>
      </c>
      <c r="M13" s="18">
        <f t="shared" si="5"/>
        <v>99.999563690307397</v>
      </c>
      <c r="N13" s="20">
        <v>0</v>
      </c>
      <c r="O13" s="18">
        <v>0</v>
      </c>
      <c r="P13" s="18">
        <v>0</v>
      </c>
      <c r="Q13" s="19">
        <v>321229.7</v>
      </c>
      <c r="R13" s="18">
        <v>321229.59999999998</v>
      </c>
      <c r="S13" s="18">
        <f t="shared" si="16"/>
        <v>99.999968869628177</v>
      </c>
      <c r="T13" s="20">
        <v>0</v>
      </c>
      <c r="U13" s="18">
        <v>0</v>
      </c>
      <c r="V13" s="18">
        <v>0</v>
      </c>
      <c r="W13" s="19">
        <v>5721.1</v>
      </c>
      <c r="X13" s="19">
        <v>5721.1</v>
      </c>
      <c r="Y13" s="18">
        <f t="shared" si="7"/>
        <v>100</v>
      </c>
      <c r="Z13" s="20">
        <v>0</v>
      </c>
      <c r="AA13" s="18">
        <v>0</v>
      </c>
      <c r="AB13" s="18">
        <v>0</v>
      </c>
      <c r="AC13" s="19">
        <v>81857</v>
      </c>
      <c r="AD13" s="20">
        <v>81688.899999999994</v>
      </c>
      <c r="AE13" s="18">
        <f t="shared" si="17"/>
        <v>99.794641875465743</v>
      </c>
      <c r="AF13" s="21">
        <v>0</v>
      </c>
      <c r="AG13" s="18">
        <v>0</v>
      </c>
      <c r="AH13" s="18">
        <v>0</v>
      </c>
      <c r="AI13" s="19">
        <v>196336.9</v>
      </c>
      <c r="AJ13" s="19">
        <v>196336.8</v>
      </c>
      <c r="AK13" s="18">
        <f t="shared" si="8"/>
        <v>99.999949067139184</v>
      </c>
      <c r="AL13" s="19">
        <v>7679</v>
      </c>
      <c r="AM13" s="19">
        <v>7679</v>
      </c>
      <c r="AN13" s="18">
        <f t="shared" si="19"/>
        <v>100</v>
      </c>
      <c r="AO13" s="18" t="s">
        <v>1</v>
      </c>
      <c r="AP13" s="18">
        <v>0</v>
      </c>
      <c r="AQ13" s="18">
        <f t="shared" si="9"/>
        <v>0</v>
      </c>
      <c r="AR13" s="19">
        <v>113809.8</v>
      </c>
      <c r="AS13" s="22">
        <f>2427.6+84011.9+21000+6361.4</f>
        <v>113800.9</v>
      </c>
      <c r="AT13" s="18">
        <f t="shared" si="21"/>
        <v>99.992179935295539</v>
      </c>
      <c r="AU13" s="19">
        <v>15024.5</v>
      </c>
      <c r="AV13" s="19">
        <v>15024.5</v>
      </c>
      <c r="AW13" s="18">
        <f t="shared" si="10"/>
        <v>100</v>
      </c>
      <c r="AX13" s="19">
        <v>8227.7999999999993</v>
      </c>
      <c r="AY13" s="18">
        <v>8227.7999999999993</v>
      </c>
      <c r="AZ13" s="18">
        <f t="shared" si="11"/>
        <v>100</v>
      </c>
      <c r="BA13" s="19">
        <f>1710875.8-103002</f>
        <v>1607873.8</v>
      </c>
      <c r="BB13" s="18">
        <v>1607873.5</v>
      </c>
      <c r="BC13" s="18">
        <f t="shared" si="12"/>
        <v>99.999981341819236</v>
      </c>
      <c r="BD13" s="22">
        <v>0</v>
      </c>
      <c r="BE13" s="18">
        <v>0</v>
      </c>
      <c r="BF13" s="18">
        <v>0</v>
      </c>
      <c r="BG13" s="19">
        <f>6130.5-1315</f>
        <v>4815.5</v>
      </c>
      <c r="BH13" s="18">
        <v>3851.7</v>
      </c>
      <c r="BI13" s="18">
        <f t="shared" si="13"/>
        <v>79.985463607102062</v>
      </c>
      <c r="BJ13" s="21">
        <v>1439</v>
      </c>
      <c r="BK13" s="24">
        <v>1439</v>
      </c>
      <c r="BL13" s="18">
        <f t="shared" ref="BL13:BL17" si="25">BK13/BJ13*100</f>
        <v>100</v>
      </c>
      <c r="BM13" s="19">
        <v>22492.6</v>
      </c>
      <c r="BN13" s="22">
        <v>22491</v>
      </c>
      <c r="BO13" s="18">
        <f t="shared" si="14"/>
        <v>99.992886549354026</v>
      </c>
      <c r="BP13" s="19">
        <v>3536.2</v>
      </c>
      <c r="BQ13" s="22">
        <v>3536.1</v>
      </c>
      <c r="BR13" s="18">
        <f t="shared" si="22"/>
        <v>99.997172105650137</v>
      </c>
      <c r="BS13" s="24">
        <v>0</v>
      </c>
      <c r="BT13" s="22">
        <v>0</v>
      </c>
      <c r="BU13" s="18">
        <v>0</v>
      </c>
      <c r="BV13" s="18"/>
      <c r="BW13" s="18"/>
      <c r="BX13" s="18" t="s">
        <v>16</v>
      </c>
    </row>
    <row r="14" spans="1:76" s="4" customFormat="1" ht="15.6" x14ac:dyDescent="0.3">
      <c r="A14" s="3" t="s">
        <v>51</v>
      </c>
      <c r="B14" s="18">
        <f t="shared" si="1"/>
        <v>2298526.6999999997</v>
      </c>
      <c r="C14" s="18">
        <f t="shared" si="2"/>
        <v>2288514.8999999994</v>
      </c>
      <c r="D14" s="18">
        <f t="shared" si="3"/>
        <v>99.564425333845364</v>
      </c>
      <c r="E14" s="19">
        <v>107780.2</v>
      </c>
      <c r="F14" s="18">
        <f>52016+54450.2</f>
        <v>106466.2</v>
      </c>
      <c r="G14" s="18">
        <f t="shared" si="15"/>
        <v>98.78085214167352</v>
      </c>
      <c r="H14" s="19">
        <v>1641.7</v>
      </c>
      <c r="I14" s="19">
        <v>1641.7</v>
      </c>
      <c r="J14" s="18">
        <f t="shared" si="4"/>
        <v>100</v>
      </c>
      <c r="K14" s="19">
        <f>490236.6+740.9</f>
        <v>490977.5</v>
      </c>
      <c r="L14" s="18">
        <f>42176.7+251098.1+186053.2+11645.3</f>
        <v>490973.3</v>
      </c>
      <c r="M14" s="18">
        <f t="shared" si="5"/>
        <v>99.999144563651072</v>
      </c>
      <c r="N14" s="20">
        <v>0</v>
      </c>
      <c r="O14" s="18">
        <v>0</v>
      </c>
      <c r="P14" s="18">
        <v>0</v>
      </c>
      <c r="Q14" s="19">
        <f>231761.5+1716.7</f>
        <v>233478.2</v>
      </c>
      <c r="R14" s="18">
        <v>233469.2</v>
      </c>
      <c r="S14" s="18">
        <f t="shared" si="16"/>
        <v>99.996145250391692</v>
      </c>
      <c r="T14" s="20">
        <v>5050</v>
      </c>
      <c r="U14" s="20">
        <v>5050</v>
      </c>
      <c r="V14" s="18">
        <f t="shared" ref="V14:V19" si="26">U14/T14*100</f>
        <v>100</v>
      </c>
      <c r="W14" s="19">
        <v>67795.899999999994</v>
      </c>
      <c r="X14" s="18">
        <f>22369.1+45426.8</f>
        <v>67795.899999999994</v>
      </c>
      <c r="Y14" s="18">
        <f t="shared" si="7"/>
        <v>100</v>
      </c>
      <c r="Z14" s="20">
        <v>0</v>
      </c>
      <c r="AA14" s="18">
        <v>0</v>
      </c>
      <c r="AB14" s="18">
        <v>0</v>
      </c>
      <c r="AC14" s="19">
        <v>6615.2</v>
      </c>
      <c r="AD14" s="19">
        <v>6615.2</v>
      </c>
      <c r="AE14" s="18">
        <f t="shared" si="17"/>
        <v>100</v>
      </c>
      <c r="AF14" s="21">
        <v>10970</v>
      </c>
      <c r="AG14" s="18">
        <v>10168.200000000001</v>
      </c>
      <c r="AH14" s="18">
        <f t="shared" si="18"/>
        <v>92.690975387420252</v>
      </c>
      <c r="AI14" s="19">
        <v>149969.5</v>
      </c>
      <c r="AJ14" s="19">
        <v>149969.5</v>
      </c>
      <c r="AK14" s="18">
        <f t="shared" si="8"/>
        <v>100</v>
      </c>
      <c r="AL14" s="19">
        <v>13748.8</v>
      </c>
      <c r="AM14" s="19">
        <v>13748.8</v>
      </c>
      <c r="AN14" s="18">
        <f t="shared" si="19"/>
        <v>100</v>
      </c>
      <c r="AO14" s="18" t="s">
        <v>1</v>
      </c>
      <c r="AP14" s="18">
        <v>0</v>
      </c>
      <c r="AQ14" s="18">
        <f t="shared" si="9"/>
        <v>0</v>
      </c>
      <c r="AR14" s="19">
        <v>201261.9</v>
      </c>
      <c r="AS14" s="22">
        <f>19255.5+113793+39669.8+28543.6</f>
        <v>201261.9</v>
      </c>
      <c r="AT14" s="18">
        <f t="shared" si="21"/>
        <v>100</v>
      </c>
      <c r="AU14" s="19">
        <v>15272.1</v>
      </c>
      <c r="AV14" s="19">
        <v>15272.1</v>
      </c>
      <c r="AW14" s="18">
        <f t="shared" si="10"/>
        <v>100</v>
      </c>
      <c r="AX14" s="19">
        <v>10205.9</v>
      </c>
      <c r="AY14" s="18">
        <v>10205.9</v>
      </c>
      <c r="AZ14" s="18">
        <f t="shared" si="11"/>
        <v>100</v>
      </c>
      <c r="BA14" s="19">
        <v>925930.6</v>
      </c>
      <c r="BB14" s="18">
        <v>925799.8</v>
      </c>
      <c r="BC14" s="18">
        <f t="shared" si="12"/>
        <v>99.985873671309704</v>
      </c>
      <c r="BD14" s="22">
        <v>0</v>
      </c>
      <c r="BE14" s="18">
        <v>0</v>
      </c>
      <c r="BF14" s="18">
        <v>0</v>
      </c>
      <c r="BG14" s="19">
        <v>15503.4</v>
      </c>
      <c r="BH14" s="18">
        <f>7751.7</f>
        <v>7751.7</v>
      </c>
      <c r="BI14" s="18">
        <f t="shared" si="13"/>
        <v>50</v>
      </c>
      <c r="BJ14" s="21">
        <v>3704.4</v>
      </c>
      <c r="BK14" s="24">
        <v>3704.4</v>
      </c>
      <c r="BL14" s="18">
        <f t="shared" si="25"/>
        <v>100</v>
      </c>
      <c r="BM14" s="19">
        <v>24996.799999999999</v>
      </c>
      <c r="BN14" s="19">
        <v>24996.799999999999</v>
      </c>
      <c r="BO14" s="18">
        <f t="shared" si="14"/>
        <v>100</v>
      </c>
      <c r="BP14" s="19">
        <v>13624.6</v>
      </c>
      <c r="BQ14" s="22">
        <v>13624.3</v>
      </c>
      <c r="BR14" s="18">
        <f t="shared" si="22"/>
        <v>99.997798100494677</v>
      </c>
      <c r="BS14" s="24">
        <v>0</v>
      </c>
      <c r="BT14" s="22">
        <v>0</v>
      </c>
      <c r="BU14" s="18">
        <v>0</v>
      </c>
      <c r="BV14" s="18"/>
      <c r="BW14" s="18"/>
      <c r="BX14" s="18" t="s">
        <v>16</v>
      </c>
    </row>
    <row r="15" spans="1:76" s="4" customFormat="1" ht="16.95" customHeight="1" x14ac:dyDescent="0.3">
      <c r="A15" s="3" t="s">
        <v>4</v>
      </c>
      <c r="B15" s="18">
        <f t="shared" si="1"/>
        <v>2458452.1</v>
      </c>
      <c r="C15" s="18">
        <f t="shared" si="2"/>
        <v>2452523.7999999998</v>
      </c>
      <c r="D15" s="18">
        <f t="shared" si="3"/>
        <v>99.758860463459911</v>
      </c>
      <c r="E15" s="19">
        <v>93081.8</v>
      </c>
      <c r="F15" s="18">
        <f>39930.1+50291.2</f>
        <v>90221.299999999988</v>
      </c>
      <c r="G15" s="18">
        <f t="shared" si="15"/>
        <v>96.926896557651432</v>
      </c>
      <c r="H15" s="19">
        <v>579.5</v>
      </c>
      <c r="I15" s="22">
        <v>579.4</v>
      </c>
      <c r="J15" s="18">
        <f t="shared" si="4"/>
        <v>99.982743744607419</v>
      </c>
      <c r="K15" s="19">
        <v>338092.1</v>
      </c>
      <c r="L15" s="18">
        <f>294465+43583.5</f>
        <v>338048.5</v>
      </c>
      <c r="M15" s="18">
        <f t="shared" si="5"/>
        <v>99.987104105656428</v>
      </c>
      <c r="N15" s="20">
        <v>45797.7</v>
      </c>
      <c r="O15" s="18">
        <f>43541+2256.6</f>
        <v>45797.599999999999</v>
      </c>
      <c r="P15" s="18">
        <f>O15/N15*100</f>
        <v>99.999781648423394</v>
      </c>
      <c r="Q15" s="19">
        <v>98590.8</v>
      </c>
      <c r="R15" s="19">
        <v>98590.8</v>
      </c>
      <c r="S15" s="18">
        <f t="shared" si="16"/>
        <v>100</v>
      </c>
      <c r="T15" s="20">
        <v>48722.9</v>
      </c>
      <c r="U15" s="20">
        <v>48722.9</v>
      </c>
      <c r="V15" s="18">
        <f t="shared" si="26"/>
        <v>100</v>
      </c>
      <c r="W15" s="24">
        <v>0</v>
      </c>
      <c r="X15" s="18">
        <v>0</v>
      </c>
      <c r="Y15" s="18">
        <v>0</v>
      </c>
      <c r="Z15" s="20">
        <v>0</v>
      </c>
      <c r="AA15" s="18">
        <v>0</v>
      </c>
      <c r="AB15" s="18">
        <v>0</v>
      </c>
      <c r="AC15" s="19">
        <v>4319.3</v>
      </c>
      <c r="AD15" s="19">
        <v>4319.3</v>
      </c>
      <c r="AE15" s="18">
        <f t="shared" si="17"/>
        <v>100</v>
      </c>
      <c r="AF15" s="21">
        <f>48841.2-12425.8</f>
        <v>36415.399999999994</v>
      </c>
      <c r="AG15" s="20">
        <v>36415.4</v>
      </c>
      <c r="AH15" s="18">
        <f t="shared" si="18"/>
        <v>100.00000000000003</v>
      </c>
      <c r="AI15" s="19">
        <v>93243.6</v>
      </c>
      <c r="AJ15" s="19">
        <v>93243.6</v>
      </c>
      <c r="AK15" s="18">
        <f t="shared" si="8"/>
        <v>100</v>
      </c>
      <c r="AL15" s="19">
        <v>14191.7</v>
      </c>
      <c r="AM15" s="19">
        <v>14191.7</v>
      </c>
      <c r="AN15" s="18">
        <f t="shared" si="19"/>
        <v>100</v>
      </c>
      <c r="AO15" s="18" t="s">
        <v>1</v>
      </c>
      <c r="AP15" s="18">
        <v>0</v>
      </c>
      <c r="AQ15" s="18">
        <f t="shared" si="9"/>
        <v>0</v>
      </c>
      <c r="AR15" s="19">
        <v>58245.7</v>
      </c>
      <c r="AS15" s="22">
        <f>7111.7+9052.5+16744.7+25336.8</f>
        <v>58245.7</v>
      </c>
      <c r="AT15" s="18">
        <f t="shared" si="21"/>
        <v>100</v>
      </c>
      <c r="AU15" s="19">
        <v>8275.9</v>
      </c>
      <c r="AV15" s="19">
        <v>8275.9</v>
      </c>
      <c r="AW15" s="18">
        <f t="shared" si="10"/>
        <v>100</v>
      </c>
      <c r="AX15" s="19">
        <v>1884.5</v>
      </c>
      <c r="AY15" s="19">
        <v>1884.5</v>
      </c>
      <c r="AZ15" s="18">
        <f t="shared" si="11"/>
        <v>100</v>
      </c>
      <c r="BA15" s="19">
        <v>1581488.7</v>
      </c>
      <c r="BB15" s="18">
        <v>1581488.7</v>
      </c>
      <c r="BC15" s="18">
        <f t="shared" si="12"/>
        <v>100</v>
      </c>
      <c r="BD15" s="22">
        <v>0</v>
      </c>
      <c r="BE15" s="18">
        <v>0</v>
      </c>
      <c r="BF15" s="18">
        <v>0</v>
      </c>
      <c r="BG15" s="19">
        <v>6047.2</v>
      </c>
      <c r="BH15" s="18">
        <v>3023.6</v>
      </c>
      <c r="BI15" s="18">
        <f t="shared" si="13"/>
        <v>50</v>
      </c>
      <c r="BJ15" s="21">
        <v>3720.9</v>
      </c>
      <c r="BK15" s="24">
        <v>3720.9</v>
      </c>
      <c r="BL15" s="18">
        <f t="shared" si="25"/>
        <v>100</v>
      </c>
      <c r="BM15" s="19">
        <v>12500</v>
      </c>
      <c r="BN15" s="22">
        <v>12499.8</v>
      </c>
      <c r="BO15" s="18">
        <f t="shared" si="14"/>
        <v>99.998400000000004</v>
      </c>
      <c r="BP15" s="19">
        <v>13254.4</v>
      </c>
      <c r="BQ15" s="22">
        <v>13254.2</v>
      </c>
      <c r="BR15" s="18">
        <f t="shared" si="22"/>
        <v>99.998491067117342</v>
      </c>
      <c r="BS15" s="24">
        <v>0</v>
      </c>
      <c r="BT15" s="22">
        <v>0</v>
      </c>
      <c r="BU15" s="18">
        <v>0</v>
      </c>
      <c r="BV15" s="18"/>
      <c r="BW15" s="18"/>
      <c r="BX15" s="18" t="s">
        <v>16</v>
      </c>
    </row>
    <row r="16" spans="1:76" s="4" customFormat="1" ht="17.399999999999999" customHeight="1" x14ac:dyDescent="0.3">
      <c r="A16" s="3" t="s">
        <v>5</v>
      </c>
      <c r="B16" s="18">
        <f t="shared" si="1"/>
        <v>600871.5</v>
      </c>
      <c r="C16" s="18">
        <f t="shared" si="2"/>
        <v>600741.4</v>
      </c>
      <c r="D16" s="18">
        <f t="shared" si="3"/>
        <v>99.978348116028144</v>
      </c>
      <c r="E16" s="19">
        <v>3677.3</v>
      </c>
      <c r="F16" s="18">
        <v>3677.3</v>
      </c>
      <c r="G16" s="18">
        <f t="shared" si="15"/>
        <v>100</v>
      </c>
      <c r="H16" s="19">
        <v>72.599999999999994</v>
      </c>
      <c r="I16" s="19">
        <v>72.599999999999994</v>
      </c>
      <c r="J16" s="18">
        <f t="shared" si="4"/>
        <v>100</v>
      </c>
      <c r="K16" s="19">
        <f>99466+0.1</f>
        <v>99466.1</v>
      </c>
      <c r="L16" s="18">
        <f>74548.7+6063.1+16337.5+2503.7</f>
        <v>99453</v>
      </c>
      <c r="M16" s="18">
        <f t="shared" si="5"/>
        <v>99.986829683681165</v>
      </c>
      <c r="N16" s="20">
        <v>0</v>
      </c>
      <c r="O16" s="18">
        <v>0</v>
      </c>
      <c r="P16" s="18">
        <v>0</v>
      </c>
      <c r="Q16" s="19">
        <v>113820.5</v>
      </c>
      <c r="R16" s="19">
        <v>113820.5</v>
      </c>
      <c r="S16" s="18">
        <f t="shared" si="16"/>
        <v>100</v>
      </c>
      <c r="T16" s="20">
        <v>0</v>
      </c>
      <c r="U16" s="18">
        <v>0</v>
      </c>
      <c r="V16" s="18">
        <v>0</v>
      </c>
      <c r="W16" s="19">
        <v>819.6</v>
      </c>
      <c r="X16" s="19">
        <v>819.6</v>
      </c>
      <c r="Y16" s="18">
        <f t="shared" si="7"/>
        <v>100</v>
      </c>
      <c r="Z16" s="20">
        <v>0</v>
      </c>
      <c r="AA16" s="18">
        <v>0</v>
      </c>
      <c r="AB16" s="18">
        <v>0</v>
      </c>
      <c r="AC16" s="19">
        <v>336.2</v>
      </c>
      <c r="AD16" s="19">
        <v>336.2</v>
      </c>
      <c r="AE16" s="18">
        <f t="shared" si="17"/>
        <v>100</v>
      </c>
      <c r="AF16" s="21">
        <v>0</v>
      </c>
      <c r="AG16" s="18">
        <v>0</v>
      </c>
      <c r="AH16" s="18">
        <v>0</v>
      </c>
      <c r="AI16" s="19">
        <v>110431.4</v>
      </c>
      <c r="AJ16" s="19">
        <v>110431.4</v>
      </c>
      <c r="AK16" s="18">
        <f t="shared" si="8"/>
        <v>100</v>
      </c>
      <c r="AL16" s="19">
        <v>7884.9</v>
      </c>
      <c r="AM16" s="19">
        <v>7884.9</v>
      </c>
      <c r="AN16" s="18">
        <f t="shared" si="19"/>
        <v>100</v>
      </c>
      <c r="AO16" s="18" t="s">
        <v>1</v>
      </c>
      <c r="AP16" s="18">
        <v>0</v>
      </c>
      <c r="AQ16" s="18">
        <f t="shared" si="9"/>
        <v>0</v>
      </c>
      <c r="AR16" s="19">
        <v>67521.8</v>
      </c>
      <c r="AS16" s="22">
        <f>2731.7+23462.9+31742+9585.1</f>
        <v>67521.700000000012</v>
      </c>
      <c r="AT16" s="18">
        <f t="shared" si="21"/>
        <v>99.999851899682781</v>
      </c>
      <c r="AU16" s="19">
        <v>7870.8</v>
      </c>
      <c r="AV16" s="19">
        <v>7870.8</v>
      </c>
      <c r="AW16" s="18">
        <f t="shared" si="10"/>
        <v>100</v>
      </c>
      <c r="AX16" s="19">
        <v>583.79999999999995</v>
      </c>
      <c r="AY16" s="18">
        <v>467</v>
      </c>
      <c r="AZ16" s="18">
        <f t="shared" si="11"/>
        <v>79.993148338472082</v>
      </c>
      <c r="BA16" s="19">
        <f>159588.1+18873.8</f>
        <v>178461.9</v>
      </c>
      <c r="BB16" s="18">
        <v>178461.9</v>
      </c>
      <c r="BC16" s="18">
        <f t="shared" si="12"/>
        <v>100</v>
      </c>
      <c r="BD16" s="22">
        <v>0</v>
      </c>
      <c r="BE16" s="18">
        <v>0</v>
      </c>
      <c r="BF16" s="18">
        <v>0</v>
      </c>
      <c r="BG16" s="22">
        <v>0</v>
      </c>
      <c r="BH16" s="18">
        <v>0</v>
      </c>
      <c r="BI16" s="18">
        <v>0</v>
      </c>
      <c r="BJ16" s="24">
        <v>0</v>
      </c>
      <c r="BK16" s="24">
        <v>0</v>
      </c>
      <c r="BL16" s="18">
        <v>0</v>
      </c>
      <c r="BM16" s="19">
        <v>9924.6</v>
      </c>
      <c r="BN16" s="22">
        <v>9924.5</v>
      </c>
      <c r="BO16" s="18">
        <f t="shared" si="14"/>
        <v>99.998992402716482</v>
      </c>
      <c r="BP16" s="22">
        <v>0</v>
      </c>
      <c r="BQ16" s="22">
        <v>0</v>
      </c>
      <c r="BR16" s="18">
        <v>0</v>
      </c>
      <c r="BS16" s="24">
        <v>0</v>
      </c>
      <c r="BT16" s="22">
        <v>0</v>
      </c>
      <c r="BU16" s="18">
        <v>0</v>
      </c>
      <c r="BV16" s="18"/>
      <c r="BW16" s="18"/>
      <c r="BX16" s="18" t="s">
        <v>16</v>
      </c>
    </row>
    <row r="17" spans="1:76" s="4" customFormat="1" ht="15.6" x14ac:dyDescent="0.3">
      <c r="A17" s="3" t="s">
        <v>52</v>
      </c>
      <c r="B17" s="18">
        <f t="shared" si="1"/>
        <v>543598.60000000009</v>
      </c>
      <c r="C17" s="18">
        <f t="shared" si="2"/>
        <v>538500.20000000007</v>
      </c>
      <c r="D17" s="18">
        <f t="shared" si="3"/>
        <v>99.062102073110552</v>
      </c>
      <c r="E17" s="19">
        <v>18238.8</v>
      </c>
      <c r="F17" s="18">
        <v>18188.099999999999</v>
      </c>
      <c r="G17" s="18">
        <f t="shared" si="15"/>
        <v>99.722021185604319</v>
      </c>
      <c r="H17" s="19">
        <v>398.1</v>
      </c>
      <c r="I17" s="19">
        <v>398.1</v>
      </c>
      <c r="J17" s="18">
        <f t="shared" si="4"/>
        <v>100</v>
      </c>
      <c r="K17" s="19">
        <f>216861.8</f>
        <v>216861.8</v>
      </c>
      <c r="L17" s="18">
        <f>96269.6+107266.9+684.3+8471.9</f>
        <v>212692.69999999998</v>
      </c>
      <c r="M17" s="18">
        <f t="shared" si="5"/>
        <v>98.077531404793277</v>
      </c>
      <c r="N17" s="20">
        <v>0</v>
      </c>
      <c r="O17" s="18">
        <v>0</v>
      </c>
      <c r="P17" s="18">
        <v>0</v>
      </c>
      <c r="Q17" s="19">
        <v>27710.2</v>
      </c>
      <c r="R17" s="18">
        <v>27549.8</v>
      </c>
      <c r="S17" s="18">
        <f t="shared" si="16"/>
        <v>99.421151778045626</v>
      </c>
      <c r="T17" s="20">
        <v>0</v>
      </c>
      <c r="U17" s="18">
        <v>0</v>
      </c>
      <c r="V17" s="18">
        <v>0</v>
      </c>
      <c r="W17" s="19">
        <v>712.8</v>
      </c>
      <c r="X17" s="18">
        <v>712.8</v>
      </c>
      <c r="Y17" s="18">
        <f t="shared" si="7"/>
        <v>100</v>
      </c>
      <c r="Z17" s="20">
        <f>623.7-623.7</f>
        <v>0</v>
      </c>
      <c r="AA17" s="18">
        <v>0</v>
      </c>
      <c r="AB17" s="18">
        <v>0</v>
      </c>
      <c r="AC17" s="19">
        <v>471.5</v>
      </c>
      <c r="AD17" s="19">
        <v>471.5</v>
      </c>
      <c r="AE17" s="18">
        <f t="shared" si="17"/>
        <v>100</v>
      </c>
      <c r="AF17" s="21">
        <v>297</v>
      </c>
      <c r="AG17" s="20">
        <v>297</v>
      </c>
      <c r="AH17" s="18">
        <f t="shared" si="18"/>
        <v>100</v>
      </c>
      <c r="AI17" s="19">
        <v>52491</v>
      </c>
      <c r="AJ17" s="19">
        <v>52491</v>
      </c>
      <c r="AK17" s="18">
        <f t="shared" si="8"/>
        <v>100</v>
      </c>
      <c r="AL17" s="19">
        <v>3714.4</v>
      </c>
      <c r="AM17" s="19">
        <v>3714.4</v>
      </c>
      <c r="AN17" s="18">
        <f t="shared" si="19"/>
        <v>100</v>
      </c>
      <c r="AO17" s="18" t="s">
        <v>1</v>
      </c>
      <c r="AP17" s="18">
        <v>0</v>
      </c>
      <c r="AQ17" s="18">
        <f t="shared" si="9"/>
        <v>0</v>
      </c>
      <c r="AR17" s="19">
        <v>76324.600000000006</v>
      </c>
      <c r="AS17" s="22">
        <f>10219.5+8597.8+20790+36717.3</f>
        <v>76324.600000000006</v>
      </c>
      <c r="AT17" s="18">
        <f t="shared" si="21"/>
        <v>100</v>
      </c>
      <c r="AU17" s="19">
        <v>6111.4</v>
      </c>
      <c r="AV17" s="19">
        <v>6111.4</v>
      </c>
      <c r="AW17" s="18">
        <f t="shared" si="10"/>
        <v>100</v>
      </c>
      <c r="AX17" s="19">
        <f>751.4+1486.3</f>
        <v>2237.6999999999998</v>
      </c>
      <c r="AY17" s="18">
        <v>2237.6999999999998</v>
      </c>
      <c r="AZ17" s="18">
        <f t="shared" si="11"/>
        <v>100</v>
      </c>
      <c r="BA17" s="19">
        <f>243571.3-118155.7</f>
        <v>125415.59999999999</v>
      </c>
      <c r="BB17" s="18">
        <v>125415.4</v>
      </c>
      <c r="BC17" s="18">
        <f t="shared" si="12"/>
        <v>99.999840530205176</v>
      </c>
      <c r="BD17" s="22">
        <v>0</v>
      </c>
      <c r="BE17" s="18">
        <v>0</v>
      </c>
      <c r="BF17" s="18">
        <v>0</v>
      </c>
      <c r="BG17" s="19">
        <f>3801.1-868.3</f>
        <v>2932.8</v>
      </c>
      <c r="BH17" s="18">
        <f>0+2328.5</f>
        <v>2328.5</v>
      </c>
      <c r="BI17" s="18">
        <f t="shared" si="13"/>
        <v>79.395117294053463</v>
      </c>
      <c r="BJ17" s="21">
        <v>98.8</v>
      </c>
      <c r="BK17" s="24">
        <v>98.8</v>
      </c>
      <c r="BL17" s="18">
        <f t="shared" si="25"/>
        <v>100</v>
      </c>
      <c r="BM17" s="19">
        <v>4138.7</v>
      </c>
      <c r="BN17" s="22">
        <v>4138.6000000000004</v>
      </c>
      <c r="BO17" s="18">
        <f t="shared" si="14"/>
        <v>99.997583782347135</v>
      </c>
      <c r="BP17" s="19">
        <v>5443.4</v>
      </c>
      <c r="BQ17" s="22">
        <v>5329.8</v>
      </c>
      <c r="BR17" s="18">
        <f t="shared" si="22"/>
        <v>97.913069037733777</v>
      </c>
      <c r="BS17" s="24">
        <v>0</v>
      </c>
      <c r="BT17" s="22">
        <v>0</v>
      </c>
      <c r="BU17" s="18">
        <v>0</v>
      </c>
      <c r="BV17" s="18"/>
      <c r="BW17" s="18"/>
      <c r="BX17" s="18" t="s">
        <v>16</v>
      </c>
    </row>
    <row r="18" spans="1:76" s="4" customFormat="1" ht="19.2" customHeight="1" x14ac:dyDescent="0.3">
      <c r="A18" s="3" t="s">
        <v>6</v>
      </c>
      <c r="B18" s="18">
        <f t="shared" si="1"/>
        <v>1744830.7999999998</v>
      </c>
      <c r="C18" s="18">
        <f t="shared" si="2"/>
        <v>1684192.4</v>
      </c>
      <c r="D18" s="18">
        <f t="shared" si="3"/>
        <v>96.524683081018523</v>
      </c>
      <c r="E18" s="19">
        <v>46757</v>
      </c>
      <c r="F18" s="18">
        <f>44362.4+2269.2</f>
        <v>46631.6</v>
      </c>
      <c r="G18" s="18">
        <f t="shared" si="15"/>
        <v>99.731804863442903</v>
      </c>
      <c r="H18" s="19">
        <v>324.60000000000002</v>
      </c>
      <c r="I18" s="19">
        <v>324.60000000000002</v>
      </c>
      <c r="J18" s="18">
        <f t="shared" si="4"/>
        <v>100</v>
      </c>
      <c r="K18" s="19">
        <v>8630.9</v>
      </c>
      <c r="L18" s="18">
        <f>2138.4+2245.3+1730.8+1041.4</f>
        <v>7155.9000000000015</v>
      </c>
      <c r="M18" s="18">
        <f t="shared" si="5"/>
        <v>82.910241110428828</v>
      </c>
      <c r="N18" s="20">
        <v>0</v>
      </c>
      <c r="O18" s="18">
        <v>0</v>
      </c>
      <c r="P18" s="18">
        <v>0</v>
      </c>
      <c r="Q18" s="19">
        <f>38539.1-774.6</f>
        <v>37764.5</v>
      </c>
      <c r="R18" s="18">
        <v>33344.1</v>
      </c>
      <c r="S18" s="18">
        <f t="shared" si="16"/>
        <v>88.294827152484473</v>
      </c>
      <c r="T18" s="20">
        <v>0</v>
      </c>
      <c r="U18" s="18">
        <v>0</v>
      </c>
      <c r="V18" s="18">
        <v>0</v>
      </c>
      <c r="W18" s="19">
        <v>2574</v>
      </c>
      <c r="X18" s="18">
        <v>2573.6999999999998</v>
      </c>
      <c r="Y18" s="18">
        <f t="shared" si="7"/>
        <v>99.988344988344977</v>
      </c>
      <c r="Z18" s="20">
        <v>0</v>
      </c>
      <c r="AA18" s="18">
        <v>0</v>
      </c>
      <c r="AB18" s="18">
        <v>0</v>
      </c>
      <c r="AC18" s="19">
        <v>762.1</v>
      </c>
      <c r="AD18" s="19">
        <v>762.1</v>
      </c>
      <c r="AE18" s="18">
        <f t="shared" si="17"/>
        <v>100</v>
      </c>
      <c r="AF18" s="21">
        <v>2104.1</v>
      </c>
      <c r="AG18" s="18">
        <v>2104</v>
      </c>
      <c r="AH18" s="18">
        <f t="shared" si="18"/>
        <v>99.995247374174241</v>
      </c>
      <c r="AI18" s="19">
        <v>35658.300000000003</v>
      </c>
      <c r="AJ18" s="19">
        <v>35658.300000000003</v>
      </c>
      <c r="AK18" s="18">
        <f t="shared" si="8"/>
        <v>100</v>
      </c>
      <c r="AL18" s="19">
        <v>6221.7</v>
      </c>
      <c r="AM18" s="19">
        <v>6221.7</v>
      </c>
      <c r="AN18" s="18">
        <f t="shared" si="19"/>
        <v>100</v>
      </c>
      <c r="AO18" s="18" t="s">
        <v>1</v>
      </c>
      <c r="AP18" s="18">
        <v>0</v>
      </c>
      <c r="AQ18" s="18">
        <f t="shared" si="9"/>
        <v>0</v>
      </c>
      <c r="AR18" s="19">
        <f>29123.2-1631.2</f>
        <v>27492</v>
      </c>
      <c r="AS18" s="22">
        <f>4855.1+4011+9695+8845.4</f>
        <v>27406.5</v>
      </c>
      <c r="AT18" s="18">
        <f t="shared" si="21"/>
        <v>99.689000436490616</v>
      </c>
      <c r="AU18" s="19">
        <v>6249.6</v>
      </c>
      <c r="AV18" s="19">
        <v>6249.6</v>
      </c>
      <c r="AW18" s="18">
        <f t="shared" si="10"/>
        <v>100</v>
      </c>
      <c r="AX18" s="19">
        <v>1083.9000000000001</v>
      </c>
      <c r="AY18" s="19">
        <v>1083.9000000000001</v>
      </c>
      <c r="AZ18" s="18">
        <f t="shared" si="11"/>
        <v>100</v>
      </c>
      <c r="BA18" s="19">
        <f>1625657.8-77127.7</f>
        <v>1548530.1</v>
      </c>
      <c r="BB18" s="18">
        <v>1497197.5</v>
      </c>
      <c r="BC18" s="18">
        <f t="shared" si="12"/>
        <v>96.685075737307272</v>
      </c>
      <c r="BD18" s="22">
        <v>0</v>
      </c>
      <c r="BE18" s="18">
        <v>0</v>
      </c>
      <c r="BF18" s="18">
        <v>0</v>
      </c>
      <c r="BG18" s="19">
        <v>6397.7</v>
      </c>
      <c r="BH18" s="18">
        <f>3198.7</f>
        <v>3198.7</v>
      </c>
      <c r="BI18" s="18">
        <f t="shared" si="13"/>
        <v>49.99765540741204</v>
      </c>
      <c r="BJ18" s="24">
        <v>0</v>
      </c>
      <c r="BK18" s="24">
        <v>0</v>
      </c>
      <c r="BL18" s="18">
        <v>0</v>
      </c>
      <c r="BM18" s="19">
        <v>9840.9</v>
      </c>
      <c r="BN18" s="22">
        <v>9840.7999999999993</v>
      </c>
      <c r="BO18" s="18">
        <f t="shared" si="14"/>
        <v>99.998983832779516</v>
      </c>
      <c r="BP18" s="19">
        <v>4439.3999999999996</v>
      </c>
      <c r="BQ18" s="22">
        <v>4439.3999999999996</v>
      </c>
      <c r="BR18" s="18">
        <f t="shared" si="22"/>
        <v>100</v>
      </c>
      <c r="BS18" s="24">
        <v>0</v>
      </c>
      <c r="BT18" s="22">
        <v>0</v>
      </c>
      <c r="BU18" s="18">
        <v>0</v>
      </c>
      <c r="BV18" s="18"/>
      <c r="BW18" s="18"/>
      <c r="BX18" s="18" t="s">
        <v>16</v>
      </c>
    </row>
    <row r="19" spans="1:76" s="4" customFormat="1" ht="18" customHeight="1" x14ac:dyDescent="0.3">
      <c r="A19" s="3" t="s">
        <v>7</v>
      </c>
      <c r="B19" s="18">
        <f t="shared" si="1"/>
        <v>1385966.2</v>
      </c>
      <c r="C19" s="18">
        <f t="shared" si="2"/>
        <v>1368318.2</v>
      </c>
      <c r="D19" s="18">
        <f t="shared" si="3"/>
        <v>98.72666447421301</v>
      </c>
      <c r="E19" s="19">
        <f>56986.1+8467.2</f>
        <v>65453.3</v>
      </c>
      <c r="F19" s="18">
        <f>22042.8+43230.3</f>
        <v>65273.100000000006</v>
      </c>
      <c r="G19" s="18">
        <f t="shared" si="15"/>
        <v>99.724689205891835</v>
      </c>
      <c r="H19" s="19">
        <v>528.29999999999995</v>
      </c>
      <c r="I19" s="19">
        <v>528.29999999999995</v>
      </c>
      <c r="J19" s="18">
        <f t="shared" si="4"/>
        <v>100</v>
      </c>
      <c r="K19" s="19">
        <v>32839.4</v>
      </c>
      <c r="L19" s="18">
        <f>15320.5+15487.9+867.1+1163.7</f>
        <v>32839.199999999997</v>
      </c>
      <c r="M19" s="18">
        <f t="shared" si="5"/>
        <v>99.999390975474569</v>
      </c>
      <c r="N19" s="20">
        <v>0</v>
      </c>
      <c r="O19" s="18">
        <v>0</v>
      </c>
      <c r="P19" s="18">
        <v>0</v>
      </c>
      <c r="Q19" s="19">
        <f>47553.4+1234.8</f>
        <v>48788.200000000004</v>
      </c>
      <c r="R19" s="18">
        <v>48787.199999999997</v>
      </c>
      <c r="S19" s="18">
        <f t="shared" si="16"/>
        <v>99.997950324053747</v>
      </c>
      <c r="T19" s="20">
        <v>3530</v>
      </c>
      <c r="U19" s="20">
        <v>3530</v>
      </c>
      <c r="V19" s="18">
        <f t="shared" si="26"/>
        <v>100</v>
      </c>
      <c r="W19" s="19">
        <v>65288.6</v>
      </c>
      <c r="X19" s="18">
        <f>56953.1+5886.9</f>
        <v>62840</v>
      </c>
      <c r="Y19" s="18">
        <f t="shared" si="7"/>
        <v>96.249574964082555</v>
      </c>
      <c r="Z19" s="20">
        <v>0</v>
      </c>
      <c r="AA19" s="18">
        <v>0</v>
      </c>
      <c r="AB19" s="18">
        <v>0</v>
      </c>
      <c r="AC19" s="19">
        <f>51513.6-8002.4</f>
        <v>43511.199999999997</v>
      </c>
      <c r="AD19" s="20">
        <f>2672.2+34037.5</f>
        <v>36709.699999999997</v>
      </c>
      <c r="AE19" s="18">
        <f t="shared" si="17"/>
        <v>84.368392505837576</v>
      </c>
      <c r="AF19" s="21">
        <v>9355.5</v>
      </c>
      <c r="AG19" s="18">
        <v>9100.9</v>
      </c>
      <c r="AH19" s="18">
        <f t="shared" si="18"/>
        <v>97.278606167495056</v>
      </c>
      <c r="AI19" s="19">
        <v>69065</v>
      </c>
      <c r="AJ19" s="19">
        <v>69065</v>
      </c>
      <c r="AK19" s="18">
        <f t="shared" si="8"/>
        <v>100</v>
      </c>
      <c r="AL19" s="19">
        <v>4011.2</v>
      </c>
      <c r="AM19" s="19">
        <v>4011.2</v>
      </c>
      <c r="AN19" s="18">
        <f t="shared" si="19"/>
        <v>100</v>
      </c>
      <c r="AO19" s="18" t="s">
        <v>1</v>
      </c>
      <c r="AP19" s="18">
        <v>0</v>
      </c>
      <c r="AQ19" s="18">
        <f t="shared" si="9"/>
        <v>0</v>
      </c>
      <c r="AR19" s="19">
        <f>84156.8-93.9</f>
        <v>84062.900000000009</v>
      </c>
      <c r="AS19" s="22">
        <f>4806.6+40619.6+23521.5+15115.1</f>
        <v>84062.8</v>
      </c>
      <c r="AT19" s="18">
        <f t="shared" si="21"/>
        <v>99.999881041458238</v>
      </c>
      <c r="AU19" s="19">
        <v>9300.5</v>
      </c>
      <c r="AV19" s="19">
        <v>9300.5</v>
      </c>
      <c r="AW19" s="18">
        <f t="shared" si="10"/>
        <v>100</v>
      </c>
      <c r="AX19" s="19">
        <v>6081.3</v>
      </c>
      <c r="AY19" s="18">
        <v>6065.5</v>
      </c>
      <c r="AZ19" s="18">
        <f t="shared" si="11"/>
        <v>99.740187131041054</v>
      </c>
      <c r="BA19" s="19">
        <v>897194.5</v>
      </c>
      <c r="BB19" s="18">
        <v>896664.9</v>
      </c>
      <c r="BC19" s="18">
        <f t="shared" si="12"/>
        <v>99.940971550761844</v>
      </c>
      <c r="BD19" s="22">
        <v>0</v>
      </c>
      <c r="BE19" s="18">
        <v>0</v>
      </c>
      <c r="BF19" s="18">
        <v>0</v>
      </c>
      <c r="BG19" s="19">
        <v>15799.1</v>
      </c>
      <c r="BH19" s="18">
        <f>7210+1378.4</f>
        <v>8588.4</v>
      </c>
      <c r="BI19" s="18">
        <f t="shared" si="13"/>
        <v>54.360058484344044</v>
      </c>
      <c r="BJ19" s="24">
        <v>0</v>
      </c>
      <c r="BK19" s="24">
        <v>0</v>
      </c>
      <c r="BL19" s="18">
        <v>0</v>
      </c>
      <c r="BM19" s="19">
        <v>11884.5</v>
      </c>
      <c r="BN19" s="22">
        <v>11884.4</v>
      </c>
      <c r="BO19" s="18">
        <f t="shared" si="14"/>
        <v>99.999158567882532</v>
      </c>
      <c r="BP19" s="19">
        <v>18252.400000000001</v>
      </c>
      <c r="BQ19" s="22">
        <v>18046.8</v>
      </c>
      <c r="BR19" s="18">
        <f>BQ19/BP19*100</f>
        <v>98.873572790427545</v>
      </c>
      <c r="BS19" s="24">
        <v>1020.3</v>
      </c>
      <c r="BT19" s="22">
        <v>1020.3</v>
      </c>
      <c r="BU19" s="18">
        <f t="shared" si="23"/>
        <v>100</v>
      </c>
      <c r="BV19" s="18"/>
      <c r="BW19" s="18"/>
      <c r="BX19" s="18" t="s">
        <v>16</v>
      </c>
    </row>
    <row r="20" spans="1:76" s="4" customFormat="1" ht="18" customHeight="1" x14ac:dyDescent="0.3">
      <c r="A20" s="3" t="s">
        <v>8</v>
      </c>
      <c r="B20" s="18">
        <f t="shared" si="1"/>
        <v>351684.19999999995</v>
      </c>
      <c r="C20" s="18">
        <f t="shared" si="2"/>
        <v>350649.49999999994</v>
      </c>
      <c r="D20" s="18">
        <f t="shared" si="3"/>
        <v>99.705787180658106</v>
      </c>
      <c r="E20" s="19">
        <v>7201.2</v>
      </c>
      <c r="F20" s="18">
        <v>7199</v>
      </c>
      <c r="G20" s="18">
        <f t="shared" si="15"/>
        <v>99.969449536188421</v>
      </c>
      <c r="H20" s="19">
        <v>34.4</v>
      </c>
      <c r="I20" s="22">
        <v>34.4</v>
      </c>
      <c r="J20" s="18">
        <f t="shared" si="4"/>
        <v>100</v>
      </c>
      <c r="K20" s="19">
        <f>3206.1+8196.9</f>
        <v>11403</v>
      </c>
      <c r="L20" s="18">
        <f>3311.8+4885+554.2+2255.8</f>
        <v>11006.8</v>
      </c>
      <c r="M20" s="18">
        <f t="shared" si="5"/>
        <v>96.525475751995089</v>
      </c>
      <c r="N20" s="20">
        <v>0</v>
      </c>
      <c r="O20" s="18">
        <v>0</v>
      </c>
      <c r="P20" s="18">
        <v>0</v>
      </c>
      <c r="Q20" s="19">
        <v>98409.7</v>
      </c>
      <c r="R20" s="18">
        <v>98150.2</v>
      </c>
      <c r="S20" s="18">
        <f t="shared" si="16"/>
        <v>99.736306481982979</v>
      </c>
      <c r="T20" s="20">
        <v>0</v>
      </c>
      <c r="U20" s="18">
        <v>0</v>
      </c>
      <c r="V20" s="18">
        <v>0</v>
      </c>
      <c r="W20" s="24">
        <v>0</v>
      </c>
      <c r="X20" s="18">
        <v>0</v>
      </c>
      <c r="Y20" s="18">
        <v>0</v>
      </c>
      <c r="Z20" s="20">
        <v>0</v>
      </c>
      <c r="AA20" s="18">
        <v>0</v>
      </c>
      <c r="AB20" s="18">
        <v>0</v>
      </c>
      <c r="AC20" s="19">
        <v>19336.400000000001</v>
      </c>
      <c r="AD20" s="20">
        <v>18959.8</v>
      </c>
      <c r="AE20" s="18">
        <f t="shared" si="17"/>
        <v>98.052377898678131</v>
      </c>
      <c r="AF20" s="21">
        <v>0</v>
      </c>
      <c r="AG20" s="18">
        <v>0</v>
      </c>
      <c r="AH20" s="18">
        <v>0</v>
      </c>
      <c r="AI20" s="19">
        <v>142410.4</v>
      </c>
      <c r="AJ20" s="19">
        <v>142410.4</v>
      </c>
      <c r="AK20" s="18">
        <f t="shared" si="8"/>
        <v>100</v>
      </c>
      <c r="AL20" s="19">
        <v>3140</v>
      </c>
      <c r="AM20" s="19">
        <v>3140</v>
      </c>
      <c r="AN20" s="18">
        <f t="shared" si="19"/>
        <v>100</v>
      </c>
      <c r="AO20" s="18" t="s">
        <v>1</v>
      </c>
      <c r="AP20" s="18">
        <v>0</v>
      </c>
      <c r="AQ20" s="18">
        <f t="shared" si="9"/>
        <v>0</v>
      </c>
      <c r="AR20" s="19">
        <v>59278.9</v>
      </c>
      <c r="AS20" s="22">
        <f>8953.4+19830.8+7000+23494.6</f>
        <v>59278.799999999996</v>
      </c>
      <c r="AT20" s="18">
        <f t="shared" si="21"/>
        <v>99.999831305911542</v>
      </c>
      <c r="AU20" s="19">
        <v>559.6</v>
      </c>
      <c r="AV20" s="19">
        <v>559.6</v>
      </c>
      <c r="AW20" s="18">
        <f t="shared" si="10"/>
        <v>100</v>
      </c>
      <c r="AX20" s="19">
        <v>221.6</v>
      </c>
      <c r="AY20" s="18">
        <v>221.6</v>
      </c>
      <c r="AZ20" s="18">
        <f t="shared" si="11"/>
        <v>100</v>
      </c>
      <c r="BA20" s="19">
        <v>2483</v>
      </c>
      <c r="BB20" s="20">
        <v>2482.9</v>
      </c>
      <c r="BC20" s="18">
        <f t="shared" si="12"/>
        <v>99.99597261377366</v>
      </c>
      <c r="BD20" s="22">
        <f>2.6-2.6</f>
        <v>0</v>
      </c>
      <c r="BE20" s="18">
        <v>0</v>
      </c>
      <c r="BF20" s="18">
        <v>0</v>
      </c>
      <c r="BG20" s="22">
        <v>0</v>
      </c>
      <c r="BH20" s="18">
        <v>0</v>
      </c>
      <c r="BI20" s="18">
        <v>0</v>
      </c>
      <c r="BJ20" s="24">
        <v>0</v>
      </c>
      <c r="BK20" s="24">
        <v>0</v>
      </c>
      <c r="BL20" s="18">
        <v>0</v>
      </c>
      <c r="BM20" s="19">
        <v>2500</v>
      </c>
      <c r="BN20" s="22">
        <v>2500</v>
      </c>
      <c r="BO20" s="18">
        <f t="shared" si="14"/>
        <v>100</v>
      </c>
      <c r="BP20" s="19">
        <v>4706</v>
      </c>
      <c r="BQ20" s="22">
        <v>4706</v>
      </c>
      <c r="BR20" s="18">
        <f>BQ20/BP20*100</f>
        <v>100</v>
      </c>
      <c r="BS20" s="24">
        <v>0</v>
      </c>
      <c r="BT20" s="22">
        <v>0</v>
      </c>
      <c r="BU20" s="18">
        <v>0</v>
      </c>
      <c r="BV20" s="18"/>
      <c r="BW20" s="18"/>
      <c r="BX20" s="18" t="s">
        <v>16</v>
      </c>
    </row>
    <row r="21" spans="1:76" s="4" customFormat="1" ht="15.6" x14ac:dyDescent="0.3">
      <c r="A21" s="3" t="s">
        <v>42</v>
      </c>
      <c r="B21" s="18">
        <f t="shared" si="1"/>
        <v>483767.5</v>
      </c>
      <c r="C21" s="18">
        <f t="shared" si="2"/>
        <v>480733</v>
      </c>
      <c r="D21" s="18">
        <f t="shared" si="3"/>
        <v>99.372735870020207</v>
      </c>
      <c r="E21" s="19">
        <v>20087.8</v>
      </c>
      <c r="F21" s="18">
        <v>20087.7</v>
      </c>
      <c r="G21" s="18">
        <f t="shared" si="15"/>
        <v>99.999502185406072</v>
      </c>
      <c r="H21" s="19">
        <v>418.6</v>
      </c>
      <c r="I21" s="19">
        <v>418.6</v>
      </c>
      <c r="J21" s="18">
        <f t="shared" si="4"/>
        <v>100</v>
      </c>
      <c r="K21" s="19">
        <v>6708.4</v>
      </c>
      <c r="L21" s="18">
        <f>2099.8+1614.5+2381.3+612.7</f>
        <v>6708.3</v>
      </c>
      <c r="M21" s="18">
        <f t="shared" si="5"/>
        <v>99.998509331584302</v>
      </c>
      <c r="N21" s="20">
        <v>27624</v>
      </c>
      <c r="O21" s="20">
        <v>27624</v>
      </c>
      <c r="P21" s="18">
        <f>O21/N21*100</f>
        <v>100</v>
      </c>
      <c r="Q21" s="19">
        <v>93870</v>
      </c>
      <c r="R21" s="18">
        <v>92791.8</v>
      </c>
      <c r="S21" s="18">
        <f t="shared" si="16"/>
        <v>98.851390220517743</v>
      </c>
      <c r="T21" s="20">
        <v>0</v>
      </c>
      <c r="U21" s="18">
        <v>0</v>
      </c>
      <c r="V21" s="18">
        <v>0</v>
      </c>
      <c r="W21" s="19">
        <v>532.70000000000005</v>
      </c>
      <c r="X21" s="19">
        <v>532.70000000000005</v>
      </c>
      <c r="Y21" s="18">
        <f t="shared" si="7"/>
        <v>100</v>
      </c>
      <c r="Z21" s="20">
        <f>12000-2745.4</f>
        <v>9254.6</v>
      </c>
      <c r="AA21" s="18">
        <v>8189.9</v>
      </c>
      <c r="AB21" s="18">
        <f t="shared" ref="AB21:AB26" si="27">AA21/Z21*100</f>
        <v>88.495450910898356</v>
      </c>
      <c r="AC21" s="19">
        <v>1582.5</v>
      </c>
      <c r="AD21" s="19">
        <v>1582.5</v>
      </c>
      <c r="AE21" s="18">
        <f t="shared" si="17"/>
        <v>100</v>
      </c>
      <c r="AF21" s="21">
        <v>0</v>
      </c>
      <c r="AG21" s="18">
        <v>0</v>
      </c>
      <c r="AH21" s="18">
        <v>0</v>
      </c>
      <c r="AI21" s="19">
        <v>38110</v>
      </c>
      <c r="AJ21" s="19">
        <v>38110</v>
      </c>
      <c r="AK21" s="18">
        <f t="shared" si="8"/>
        <v>100</v>
      </c>
      <c r="AL21" s="19">
        <v>13049.6</v>
      </c>
      <c r="AM21" s="19">
        <v>13049.6</v>
      </c>
      <c r="AN21" s="18">
        <f t="shared" si="19"/>
        <v>100</v>
      </c>
      <c r="AO21" s="18" t="s">
        <v>1</v>
      </c>
      <c r="AP21" s="18">
        <v>0</v>
      </c>
      <c r="AQ21" s="18">
        <f t="shared" si="9"/>
        <v>0</v>
      </c>
      <c r="AR21" s="19">
        <f>66826.6-56.1</f>
        <v>66770.5</v>
      </c>
      <c r="AS21" s="22">
        <f>3960.8+39570.3+19128.1+4111.2</f>
        <v>66770.400000000009</v>
      </c>
      <c r="AT21" s="18">
        <f t="shared" si="21"/>
        <v>99.999850233261711</v>
      </c>
      <c r="AU21" s="19">
        <v>7554.8</v>
      </c>
      <c r="AV21" s="19">
        <v>7554.7</v>
      </c>
      <c r="AW21" s="18">
        <f t="shared" si="10"/>
        <v>99.998676338222054</v>
      </c>
      <c r="AX21" s="19">
        <v>1014.5</v>
      </c>
      <c r="AY21" s="18">
        <v>1014.5</v>
      </c>
      <c r="AZ21" s="18">
        <f t="shared" si="11"/>
        <v>100</v>
      </c>
      <c r="BA21" s="19">
        <f>211844.2-51734.5</f>
        <v>160109.70000000001</v>
      </c>
      <c r="BB21" s="20">
        <v>160109.70000000001</v>
      </c>
      <c r="BC21" s="18">
        <f t="shared" si="12"/>
        <v>100</v>
      </c>
      <c r="BD21" s="22">
        <v>0</v>
      </c>
      <c r="BE21" s="18">
        <v>0</v>
      </c>
      <c r="BF21" s="18">
        <v>0</v>
      </c>
      <c r="BG21" s="19">
        <v>7270.5</v>
      </c>
      <c r="BH21" s="18">
        <f>891+5488.5</f>
        <v>6379.5</v>
      </c>
      <c r="BI21" s="18">
        <f t="shared" si="13"/>
        <v>87.744996905302258</v>
      </c>
      <c r="BJ21" s="24">
        <v>0</v>
      </c>
      <c r="BK21" s="24">
        <v>0</v>
      </c>
      <c r="BL21" s="18">
        <v>0</v>
      </c>
      <c r="BM21" s="19">
        <v>10000</v>
      </c>
      <c r="BN21" s="22">
        <v>10000</v>
      </c>
      <c r="BO21" s="18">
        <f t="shared" si="14"/>
        <v>100</v>
      </c>
      <c r="BP21" s="19">
        <v>19809.3</v>
      </c>
      <c r="BQ21" s="22">
        <v>19809.099999999999</v>
      </c>
      <c r="BR21" s="18">
        <f t="shared" si="22"/>
        <v>99.998990373208542</v>
      </c>
      <c r="BS21" s="24">
        <v>0</v>
      </c>
      <c r="BT21" s="22">
        <v>0</v>
      </c>
      <c r="BU21" s="18">
        <v>0</v>
      </c>
      <c r="BV21" s="18"/>
      <c r="BW21" s="18"/>
      <c r="BX21" s="18" t="s">
        <v>16</v>
      </c>
    </row>
    <row r="22" spans="1:76" s="4" customFormat="1" ht="18" customHeight="1" x14ac:dyDescent="0.3">
      <c r="A22" s="3" t="s">
        <v>9</v>
      </c>
      <c r="B22" s="18">
        <f t="shared" si="1"/>
        <v>1870746.3</v>
      </c>
      <c r="C22" s="18">
        <f t="shared" si="2"/>
        <v>1795929.9</v>
      </c>
      <c r="D22" s="18">
        <f t="shared" si="3"/>
        <v>96.000719071313938</v>
      </c>
      <c r="E22" s="19">
        <v>26233.4</v>
      </c>
      <c r="F22" s="25">
        <v>9162.9</v>
      </c>
      <c r="G22" s="18">
        <f t="shared" si="15"/>
        <v>34.928373752544459</v>
      </c>
      <c r="H22" s="19">
        <v>723.7</v>
      </c>
      <c r="I22" s="19">
        <v>723.7</v>
      </c>
      <c r="J22" s="18">
        <f t="shared" si="4"/>
        <v>100</v>
      </c>
      <c r="K22" s="19">
        <v>18331.5</v>
      </c>
      <c r="L22" s="18">
        <f>8374.2+6572.5+1101.8</f>
        <v>16048.5</v>
      </c>
      <c r="M22" s="18">
        <f t="shared" si="5"/>
        <v>87.546027330005728</v>
      </c>
      <c r="N22" s="20">
        <v>0</v>
      </c>
      <c r="O22" s="18">
        <v>0</v>
      </c>
      <c r="P22" s="18">
        <v>0</v>
      </c>
      <c r="Q22" s="19">
        <f>58236.7-190.1</f>
        <v>58046.6</v>
      </c>
      <c r="R22" s="18">
        <v>55248.5</v>
      </c>
      <c r="S22" s="18">
        <f t="shared" si="16"/>
        <v>95.179562627268439</v>
      </c>
      <c r="T22" s="20">
        <v>0</v>
      </c>
      <c r="U22" s="18">
        <v>0</v>
      </c>
      <c r="V22" s="18">
        <v>0</v>
      </c>
      <c r="W22" s="19">
        <v>585.9</v>
      </c>
      <c r="X22" s="18">
        <v>585.79999999999995</v>
      </c>
      <c r="Y22" s="18">
        <f t="shared" si="7"/>
        <v>99.98293224099676</v>
      </c>
      <c r="Z22" s="20">
        <v>0</v>
      </c>
      <c r="AA22" s="18">
        <v>0</v>
      </c>
      <c r="AB22" s="18">
        <v>0</v>
      </c>
      <c r="AC22" s="19">
        <f>69433.9-6000</f>
        <v>63433.899999999994</v>
      </c>
      <c r="AD22" s="18">
        <f>484.6+62949.2</f>
        <v>63433.799999999996</v>
      </c>
      <c r="AE22" s="18">
        <f t="shared" si="17"/>
        <v>99.999842355585898</v>
      </c>
      <c r="AF22" s="21">
        <v>18270.3</v>
      </c>
      <c r="AG22" s="20">
        <v>17961.400000000001</v>
      </c>
      <c r="AH22" s="18">
        <f t="shared" si="18"/>
        <v>98.309277899104018</v>
      </c>
      <c r="AI22" s="19">
        <v>51794.3</v>
      </c>
      <c r="AJ22" s="19">
        <v>51794.3</v>
      </c>
      <c r="AK22" s="18">
        <f t="shared" si="8"/>
        <v>100</v>
      </c>
      <c r="AL22" s="19">
        <v>2938</v>
      </c>
      <c r="AM22" s="19">
        <v>2938</v>
      </c>
      <c r="AN22" s="18">
        <f t="shared" si="19"/>
        <v>100</v>
      </c>
      <c r="AO22" s="18" t="s">
        <v>1</v>
      </c>
      <c r="AP22" s="18">
        <v>0</v>
      </c>
      <c r="AQ22" s="18">
        <f t="shared" si="9"/>
        <v>0</v>
      </c>
      <c r="AR22" s="19">
        <f>75161.2-365</f>
        <v>74796.2</v>
      </c>
      <c r="AS22" s="22">
        <f>8194.9+24105+20991.2+21505.2</f>
        <v>74796.3</v>
      </c>
      <c r="AT22" s="18">
        <f t="shared" si="21"/>
        <v>100.00013369663165</v>
      </c>
      <c r="AU22" s="19">
        <v>9844</v>
      </c>
      <c r="AV22" s="18">
        <v>9843.9</v>
      </c>
      <c r="AW22" s="18">
        <f t="shared" si="10"/>
        <v>99.998984152783422</v>
      </c>
      <c r="AX22" s="20"/>
      <c r="AY22" s="18">
        <v>0</v>
      </c>
      <c r="AZ22" s="18">
        <v>0</v>
      </c>
      <c r="BA22" s="19">
        <f>1491874.2+12138.9-36054.5</f>
        <v>1467958.5999999999</v>
      </c>
      <c r="BB22" s="18">
        <v>1428596.9</v>
      </c>
      <c r="BC22" s="18">
        <f t="shared" si="12"/>
        <v>97.318609666512401</v>
      </c>
      <c r="BD22" s="22">
        <v>0</v>
      </c>
      <c r="BE22" s="18">
        <v>0</v>
      </c>
      <c r="BF22" s="18">
        <v>0</v>
      </c>
      <c r="BG22" s="19">
        <v>16287.6</v>
      </c>
      <c r="BH22" s="18">
        <f>7217.1+1853.3</f>
        <v>9070.4</v>
      </c>
      <c r="BI22" s="18">
        <f t="shared" si="13"/>
        <v>55.688990397603078</v>
      </c>
      <c r="BJ22" s="21">
        <v>4715.3</v>
      </c>
      <c r="BK22" s="24">
        <v>4715.3</v>
      </c>
      <c r="BL22" s="18">
        <f t="shared" ref="BL22:BL23" si="28">BK22/BJ22*100</f>
        <v>100</v>
      </c>
      <c r="BM22" s="19">
        <v>19199.8</v>
      </c>
      <c r="BN22" s="22">
        <v>18353.2</v>
      </c>
      <c r="BO22" s="18">
        <f t="shared" si="14"/>
        <v>95.590579068531966</v>
      </c>
      <c r="BP22" s="19">
        <v>35664.300000000003</v>
      </c>
      <c r="BQ22" s="22">
        <v>30734.1</v>
      </c>
      <c r="BR22" s="18">
        <f t="shared" si="22"/>
        <v>86.176092058444993</v>
      </c>
      <c r="BS22" s="24">
        <v>1922.9</v>
      </c>
      <c r="BT22" s="22">
        <f>902.6+1020.3</f>
        <v>1922.9</v>
      </c>
      <c r="BU22" s="18">
        <f t="shared" si="23"/>
        <v>100</v>
      </c>
      <c r="BV22" s="18"/>
      <c r="BW22" s="18"/>
      <c r="BX22" s="18" t="s">
        <v>16</v>
      </c>
    </row>
    <row r="23" spans="1:76" s="4" customFormat="1" ht="15.6" customHeight="1" x14ac:dyDescent="0.3">
      <c r="A23" s="3" t="s">
        <v>10</v>
      </c>
      <c r="B23" s="18">
        <f t="shared" si="1"/>
        <v>925336.9</v>
      </c>
      <c r="C23" s="18">
        <f t="shared" si="2"/>
        <v>917728.3</v>
      </c>
      <c r="D23" s="18">
        <f t="shared" si="3"/>
        <v>99.177748126114935</v>
      </c>
      <c r="E23" s="19">
        <v>191.2</v>
      </c>
      <c r="F23" s="18">
        <v>191.2</v>
      </c>
      <c r="G23" s="18">
        <f t="shared" si="15"/>
        <v>100</v>
      </c>
      <c r="H23" s="19">
        <v>147.9</v>
      </c>
      <c r="I23" s="19">
        <v>147.9</v>
      </c>
      <c r="J23" s="18">
        <f t="shared" si="4"/>
        <v>100</v>
      </c>
      <c r="K23" s="19">
        <f>218999.4+52829.8</f>
        <v>271829.2</v>
      </c>
      <c r="L23" s="18">
        <f>(22004.4+34216.8)+52298.9+(138133.7+7520.4)+3301.6+11092.7</f>
        <v>268568.5</v>
      </c>
      <c r="M23" s="18">
        <f t="shared" si="5"/>
        <v>98.80045999473198</v>
      </c>
      <c r="N23" s="20">
        <v>0</v>
      </c>
      <c r="O23" s="18">
        <v>0</v>
      </c>
      <c r="P23" s="18">
        <v>0</v>
      </c>
      <c r="Q23" s="19">
        <v>52071.9</v>
      </c>
      <c r="R23" s="19">
        <v>52071.9</v>
      </c>
      <c r="S23" s="18">
        <f t="shared" si="16"/>
        <v>100</v>
      </c>
      <c r="T23" s="20">
        <v>0</v>
      </c>
      <c r="U23" s="18">
        <v>0</v>
      </c>
      <c r="V23" s="18">
        <v>0</v>
      </c>
      <c r="W23" s="19">
        <v>1188</v>
      </c>
      <c r="X23" s="19">
        <v>1188</v>
      </c>
      <c r="Y23" s="18">
        <f t="shared" si="7"/>
        <v>100</v>
      </c>
      <c r="Z23" s="20">
        <v>0</v>
      </c>
      <c r="AA23" s="18">
        <v>0</v>
      </c>
      <c r="AB23" s="18">
        <v>0</v>
      </c>
      <c r="AC23" s="19">
        <v>618.9</v>
      </c>
      <c r="AD23" s="20">
        <v>618.9</v>
      </c>
      <c r="AE23" s="18">
        <f t="shared" si="17"/>
        <v>100</v>
      </c>
      <c r="AF23" s="26">
        <v>0</v>
      </c>
      <c r="AG23" s="18">
        <v>0</v>
      </c>
      <c r="AH23" s="18">
        <v>0</v>
      </c>
      <c r="AI23" s="19">
        <v>168748.4</v>
      </c>
      <c r="AJ23" s="19">
        <v>168748.2</v>
      </c>
      <c r="AK23" s="18">
        <f t="shared" si="8"/>
        <v>99.999881480357757</v>
      </c>
      <c r="AL23" s="19">
        <v>6383</v>
      </c>
      <c r="AM23" s="19">
        <v>6383</v>
      </c>
      <c r="AN23" s="18">
        <f t="shared" si="19"/>
        <v>100</v>
      </c>
      <c r="AO23" s="18" t="s">
        <v>1</v>
      </c>
      <c r="AP23" s="18">
        <v>0</v>
      </c>
      <c r="AQ23" s="18">
        <f t="shared" si="9"/>
        <v>0</v>
      </c>
      <c r="AR23" s="19">
        <v>43674.6</v>
      </c>
      <c r="AS23" s="22">
        <f>11313.2+2674+29687.5</f>
        <v>43674.7</v>
      </c>
      <c r="AT23" s="18">
        <f t="shared" si="21"/>
        <v>100.00022896603518</v>
      </c>
      <c r="AU23" s="19">
        <v>18072</v>
      </c>
      <c r="AV23" s="18">
        <v>14795.9</v>
      </c>
      <c r="AW23" s="18">
        <f t="shared" si="10"/>
        <v>81.871956617972558</v>
      </c>
      <c r="AX23" s="19">
        <v>2493.4</v>
      </c>
      <c r="AY23" s="18">
        <v>2493.4</v>
      </c>
      <c r="AZ23" s="18">
        <f t="shared" si="11"/>
        <v>100</v>
      </c>
      <c r="BA23" s="19">
        <v>347145.8</v>
      </c>
      <c r="BB23" s="20">
        <v>346074.1</v>
      </c>
      <c r="BC23" s="18">
        <f t="shared" si="12"/>
        <v>99.691282452502662</v>
      </c>
      <c r="BD23" s="22">
        <v>0</v>
      </c>
      <c r="BE23" s="18">
        <v>0</v>
      </c>
      <c r="BF23" s="18">
        <v>0</v>
      </c>
      <c r="BG23" s="22">
        <v>0</v>
      </c>
      <c r="BH23" s="18">
        <v>0</v>
      </c>
      <c r="BI23" s="18">
        <v>0</v>
      </c>
      <c r="BJ23" s="21">
        <v>2772.6</v>
      </c>
      <c r="BK23" s="24">
        <v>2772.6</v>
      </c>
      <c r="BL23" s="18">
        <f t="shared" si="28"/>
        <v>100</v>
      </c>
      <c r="BM23" s="19">
        <v>10000</v>
      </c>
      <c r="BN23" s="22">
        <v>10000</v>
      </c>
      <c r="BO23" s="18">
        <f t="shared" si="14"/>
        <v>100</v>
      </c>
      <c r="BP23" s="22">
        <v>0</v>
      </c>
      <c r="BQ23" s="22">
        <v>0</v>
      </c>
      <c r="BR23" s="18">
        <v>0</v>
      </c>
      <c r="BS23" s="24">
        <v>0</v>
      </c>
      <c r="BT23" s="22">
        <v>0</v>
      </c>
      <c r="BU23" s="18">
        <v>0</v>
      </c>
      <c r="BV23" s="18"/>
      <c r="BW23" s="18"/>
      <c r="BX23" s="18" t="s">
        <v>16</v>
      </c>
    </row>
    <row r="24" spans="1:76" s="4" customFormat="1" ht="15.6" hidden="1" customHeight="1" x14ac:dyDescent="0.3">
      <c r="A24" s="3" t="s">
        <v>11</v>
      </c>
      <c r="B24" s="18">
        <f t="shared" si="1"/>
        <v>0</v>
      </c>
      <c r="C24" s="18">
        <f t="shared" si="2"/>
        <v>0</v>
      </c>
      <c r="D24" s="18" t="e">
        <f t="shared" si="3"/>
        <v>#DIV/0!</v>
      </c>
      <c r="E24" s="18">
        <v>0</v>
      </c>
      <c r="F24" s="18">
        <v>0</v>
      </c>
      <c r="G24" s="18" t="e">
        <f t="shared" si="15"/>
        <v>#DIV/0!</v>
      </c>
      <c r="H24" s="22"/>
      <c r="I24" s="22">
        <v>0</v>
      </c>
      <c r="J24" s="18" t="e">
        <f t="shared" si="4"/>
        <v>#DIV/0!</v>
      </c>
      <c r="K24" s="18">
        <v>0</v>
      </c>
      <c r="L24" s="18">
        <v>0</v>
      </c>
      <c r="M24" s="18" t="e">
        <f t="shared" si="5"/>
        <v>#DIV/0!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 t="e">
        <f t="shared" si="16"/>
        <v>#DIV/0!</v>
      </c>
      <c r="T24" s="18" t="s">
        <v>1</v>
      </c>
      <c r="U24" s="18" t="s">
        <v>1</v>
      </c>
      <c r="V24" s="18" t="e">
        <f t="shared" ref="V24:V28" si="29">U24/T24*100</f>
        <v>#DIV/0!</v>
      </c>
      <c r="W24" s="18" t="s">
        <v>1</v>
      </c>
      <c r="X24" s="18">
        <v>0</v>
      </c>
      <c r="Y24" s="18" t="e">
        <f t="shared" si="7"/>
        <v>#DIV/0!</v>
      </c>
      <c r="Z24" s="20">
        <v>0</v>
      </c>
      <c r="AA24" s="18">
        <v>0</v>
      </c>
      <c r="AB24" s="18" t="e">
        <f t="shared" si="27"/>
        <v>#DIV/0!</v>
      </c>
      <c r="AC24" s="18">
        <v>0</v>
      </c>
      <c r="AD24" s="18">
        <v>0</v>
      </c>
      <c r="AE24" s="18" t="e">
        <f t="shared" si="17"/>
        <v>#DIV/0!</v>
      </c>
      <c r="AF24" s="18">
        <v>0</v>
      </c>
      <c r="AG24" s="18">
        <v>0</v>
      </c>
      <c r="AH24" s="18" t="e">
        <f t="shared" si="18"/>
        <v>#DIV/0!</v>
      </c>
      <c r="AI24" s="18">
        <v>0</v>
      </c>
      <c r="AJ24" s="18">
        <v>0</v>
      </c>
      <c r="AK24" s="18" t="e">
        <f t="shared" si="8"/>
        <v>#DIV/0!</v>
      </c>
      <c r="AL24" s="18" t="s">
        <v>1</v>
      </c>
      <c r="AM24" s="18">
        <v>0</v>
      </c>
      <c r="AN24" s="18" t="e">
        <f t="shared" si="19"/>
        <v>#DIV/0!</v>
      </c>
      <c r="AO24" s="18" t="s">
        <v>1</v>
      </c>
      <c r="AP24" s="18">
        <v>0</v>
      </c>
      <c r="AQ24" s="18">
        <f t="shared" si="9"/>
        <v>0</v>
      </c>
      <c r="AR24" s="22"/>
      <c r="AS24" s="22"/>
      <c r="AT24" s="22"/>
      <c r="AU24" s="18">
        <v>0</v>
      </c>
      <c r="AV24" s="18">
        <v>0</v>
      </c>
      <c r="AW24" s="18" t="e">
        <f t="shared" si="10"/>
        <v>#DIV/0!</v>
      </c>
      <c r="AX24" s="18"/>
      <c r="AY24" s="18"/>
      <c r="AZ24" s="18" t="e">
        <f t="shared" si="11"/>
        <v>#DIV/0!</v>
      </c>
      <c r="BA24" s="27"/>
      <c r="BB24" s="18"/>
      <c r="BC24" s="18" t="e">
        <f t="shared" si="12"/>
        <v>#DIV/0!</v>
      </c>
      <c r="BD24" s="18">
        <v>0</v>
      </c>
      <c r="BE24" s="18">
        <v>0</v>
      </c>
      <c r="BF24" s="18" t="e">
        <f t="shared" ref="BF24:BF28" si="30">BE24/BD24*100</f>
        <v>#DIV/0!</v>
      </c>
      <c r="BG24" s="18">
        <v>0</v>
      </c>
      <c r="BH24" s="18">
        <v>0</v>
      </c>
      <c r="BI24" s="18" t="e">
        <f t="shared" si="13"/>
        <v>#DIV/0!</v>
      </c>
      <c r="BJ24" s="24">
        <v>0</v>
      </c>
      <c r="BK24" s="24"/>
      <c r="BL24" s="18">
        <f t="shared" ref="BL24:BL26" si="31">BK24-BJ24</f>
        <v>0</v>
      </c>
      <c r="BM24" s="22">
        <v>0</v>
      </c>
      <c r="BN24" s="22">
        <v>0</v>
      </c>
      <c r="BO24" s="18" t="e">
        <f t="shared" si="14"/>
        <v>#DIV/0!</v>
      </c>
      <c r="BP24" s="22">
        <v>0</v>
      </c>
      <c r="BQ24" s="22">
        <v>0</v>
      </c>
      <c r="BR24" s="18" t="e">
        <f t="shared" si="22"/>
        <v>#DIV/0!</v>
      </c>
      <c r="BS24" s="22"/>
      <c r="BT24" s="22"/>
      <c r="BU24" s="22"/>
      <c r="BV24" s="22"/>
      <c r="BW24" s="22"/>
      <c r="BX24" s="18" t="e">
        <f t="shared" si="20"/>
        <v>#DIV/0!</v>
      </c>
    </row>
    <row r="25" spans="1:76" s="4" customFormat="1" ht="15.6" hidden="1" customHeight="1" x14ac:dyDescent="0.3">
      <c r="A25" s="3" t="s">
        <v>12</v>
      </c>
      <c r="B25" s="18">
        <f t="shared" si="1"/>
        <v>0</v>
      </c>
      <c r="C25" s="18">
        <f t="shared" si="2"/>
        <v>0</v>
      </c>
      <c r="D25" s="18" t="e">
        <f t="shared" si="3"/>
        <v>#DIV/0!</v>
      </c>
      <c r="E25" s="18">
        <v>0</v>
      </c>
      <c r="F25" s="18">
        <v>0</v>
      </c>
      <c r="G25" s="18" t="e">
        <f t="shared" si="15"/>
        <v>#DIV/0!</v>
      </c>
      <c r="H25" s="22"/>
      <c r="I25" s="22">
        <v>0</v>
      </c>
      <c r="J25" s="18" t="e">
        <f t="shared" si="4"/>
        <v>#DIV/0!</v>
      </c>
      <c r="K25" s="18">
        <v>0</v>
      </c>
      <c r="L25" s="18">
        <v>0</v>
      </c>
      <c r="M25" s="18" t="e">
        <f t="shared" si="5"/>
        <v>#DIV/0!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 t="e">
        <f t="shared" si="16"/>
        <v>#DIV/0!</v>
      </c>
      <c r="T25" s="18" t="s">
        <v>1</v>
      </c>
      <c r="U25" s="18" t="s">
        <v>1</v>
      </c>
      <c r="V25" s="18" t="e">
        <f t="shared" si="29"/>
        <v>#DIV/0!</v>
      </c>
      <c r="W25" s="18" t="s">
        <v>1</v>
      </c>
      <c r="X25" s="18">
        <v>0</v>
      </c>
      <c r="Y25" s="18" t="e">
        <f t="shared" si="7"/>
        <v>#DIV/0!</v>
      </c>
      <c r="Z25" s="20">
        <v>0</v>
      </c>
      <c r="AA25" s="18">
        <v>0</v>
      </c>
      <c r="AB25" s="18" t="e">
        <f t="shared" si="27"/>
        <v>#DIV/0!</v>
      </c>
      <c r="AC25" s="18">
        <v>0</v>
      </c>
      <c r="AD25" s="18">
        <v>0</v>
      </c>
      <c r="AE25" s="18" t="e">
        <f t="shared" si="17"/>
        <v>#DIV/0!</v>
      </c>
      <c r="AF25" s="18">
        <v>0</v>
      </c>
      <c r="AG25" s="18">
        <v>0</v>
      </c>
      <c r="AH25" s="18" t="e">
        <f t="shared" si="18"/>
        <v>#DIV/0!</v>
      </c>
      <c r="AI25" s="18">
        <v>0</v>
      </c>
      <c r="AJ25" s="18">
        <v>0</v>
      </c>
      <c r="AK25" s="18" t="e">
        <f t="shared" si="8"/>
        <v>#DIV/0!</v>
      </c>
      <c r="AL25" s="18" t="s">
        <v>1</v>
      </c>
      <c r="AM25" s="18">
        <v>0</v>
      </c>
      <c r="AN25" s="18" t="e">
        <f t="shared" si="19"/>
        <v>#DIV/0!</v>
      </c>
      <c r="AO25" s="18" t="s">
        <v>1</v>
      </c>
      <c r="AP25" s="18">
        <v>0</v>
      </c>
      <c r="AQ25" s="18">
        <f t="shared" si="9"/>
        <v>0</v>
      </c>
      <c r="AR25" s="22"/>
      <c r="AS25" s="22"/>
      <c r="AT25" s="22"/>
      <c r="AU25" s="18">
        <v>0</v>
      </c>
      <c r="AV25" s="18">
        <v>0</v>
      </c>
      <c r="AW25" s="18" t="e">
        <f t="shared" si="10"/>
        <v>#DIV/0!</v>
      </c>
      <c r="AX25" s="18"/>
      <c r="AY25" s="18"/>
      <c r="AZ25" s="18" t="e">
        <f t="shared" si="11"/>
        <v>#DIV/0!</v>
      </c>
      <c r="BA25" s="27"/>
      <c r="BB25" s="18"/>
      <c r="BC25" s="18" t="e">
        <f t="shared" si="12"/>
        <v>#DIV/0!</v>
      </c>
      <c r="BD25" s="18">
        <v>0</v>
      </c>
      <c r="BE25" s="18">
        <v>0</v>
      </c>
      <c r="BF25" s="18" t="e">
        <f t="shared" si="30"/>
        <v>#DIV/0!</v>
      </c>
      <c r="BG25" s="18">
        <v>0</v>
      </c>
      <c r="BH25" s="18">
        <v>0</v>
      </c>
      <c r="BI25" s="18" t="e">
        <f t="shared" si="13"/>
        <v>#DIV/0!</v>
      </c>
      <c r="BJ25" s="24">
        <v>0</v>
      </c>
      <c r="BK25" s="24"/>
      <c r="BL25" s="18">
        <f t="shared" si="31"/>
        <v>0</v>
      </c>
      <c r="BM25" s="22">
        <v>0</v>
      </c>
      <c r="BN25" s="22">
        <v>0</v>
      </c>
      <c r="BO25" s="18" t="e">
        <f t="shared" si="14"/>
        <v>#DIV/0!</v>
      </c>
      <c r="BP25" s="22">
        <v>0</v>
      </c>
      <c r="BQ25" s="22">
        <v>0</v>
      </c>
      <c r="BR25" s="18" t="e">
        <f t="shared" si="22"/>
        <v>#DIV/0!</v>
      </c>
      <c r="BS25" s="22"/>
      <c r="BT25" s="22"/>
      <c r="BU25" s="22"/>
      <c r="BV25" s="22"/>
      <c r="BW25" s="22"/>
      <c r="BX25" s="18" t="e">
        <f t="shared" si="20"/>
        <v>#DIV/0!</v>
      </c>
    </row>
    <row r="26" spans="1:76" s="4" customFormat="1" ht="15.6" hidden="1" customHeight="1" x14ac:dyDescent="0.3">
      <c r="A26" s="3" t="s">
        <v>13</v>
      </c>
      <c r="B26" s="18">
        <f t="shared" si="1"/>
        <v>0</v>
      </c>
      <c r="C26" s="18">
        <f t="shared" si="2"/>
        <v>0</v>
      </c>
      <c r="D26" s="18" t="e">
        <f t="shared" si="3"/>
        <v>#DIV/0!</v>
      </c>
      <c r="E26" s="18">
        <v>0</v>
      </c>
      <c r="F26" s="18">
        <v>0</v>
      </c>
      <c r="G26" s="18" t="e">
        <f t="shared" si="15"/>
        <v>#DIV/0!</v>
      </c>
      <c r="H26" s="22"/>
      <c r="I26" s="22">
        <v>0</v>
      </c>
      <c r="J26" s="18" t="e">
        <f t="shared" si="4"/>
        <v>#DIV/0!</v>
      </c>
      <c r="K26" s="18">
        <v>0</v>
      </c>
      <c r="L26" s="18">
        <v>0</v>
      </c>
      <c r="M26" s="18" t="e">
        <f t="shared" si="5"/>
        <v>#DIV/0!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 t="e">
        <f t="shared" si="16"/>
        <v>#DIV/0!</v>
      </c>
      <c r="T26" s="18" t="s">
        <v>1</v>
      </c>
      <c r="U26" s="18" t="s">
        <v>1</v>
      </c>
      <c r="V26" s="18" t="e">
        <f t="shared" si="29"/>
        <v>#DIV/0!</v>
      </c>
      <c r="W26" s="18" t="s">
        <v>1</v>
      </c>
      <c r="X26" s="18">
        <v>0</v>
      </c>
      <c r="Y26" s="18" t="e">
        <f t="shared" si="7"/>
        <v>#DIV/0!</v>
      </c>
      <c r="Z26" s="20">
        <v>0</v>
      </c>
      <c r="AA26" s="18">
        <v>0</v>
      </c>
      <c r="AB26" s="18" t="e">
        <f t="shared" si="27"/>
        <v>#DIV/0!</v>
      </c>
      <c r="AC26" s="18">
        <v>0</v>
      </c>
      <c r="AD26" s="18">
        <v>0</v>
      </c>
      <c r="AE26" s="18" t="e">
        <f t="shared" si="17"/>
        <v>#DIV/0!</v>
      </c>
      <c r="AF26" s="18">
        <v>0</v>
      </c>
      <c r="AG26" s="18">
        <v>0</v>
      </c>
      <c r="AH26" s="18" t="e">
        <f t="shared" si="18"/>
        <v>#DIV/0!</v>
      </c>
      <c r="AI26" s="18">
        <v>0</v>
      </c>
      <c r="AJ26" s="18">
        <v>0</v>
      </c>
      <c r="AK26" s="18" t="e">
        <f t="shared" si="8"/>
        <v>#DIV/0!</v>
      </c>
      <c r="AL26" s="18" t="s">
        <v>1</v>
      </c>
      <c r="AM26" s="18">
        <v>0</v>
      </c>
      <c r="AN26" s="18" t="e">
        <f t="shared" si="19"/>
        <v>#DIV/0!</v>
      </c>
      <c r="AO26" s="18" t="s">
        <v>1</v>
      </c>
      <c r="AP26" s="18">
        <v>0</v>
      </c>
      <c r="AQ26" s="18">
        <f t="shared" si="9"/>
        <v>0</v>
      </c>
      <c r="AR26" s="22"/>
      <c r="AS26" s="22"/>
      <c r="AT26" s="22"/>
      <c r="AU26" s="18">
        <v>0</v>
      </c>
      <c r="AV26" s="18">
        <v>0</v>
      </c>
      <c r="AW26" s="18" t="e">
        <f t="shared" si="10"/>
        <v>#DIV/0!</v>
      </c>
      <c r="AX26" s="18"/>
      <c r="AY26" s="18"/>
      <c r="AZ26" s="18" t="e">
        <f t="shared" si="11"/>
        <v>#DIV/0!</v>
      </c>
      <c r="BA26" s="27"/>
      <c r="BB26" s="18"/>
      <c r="BC26" s="18" t="e">
        <f t="shared" si="12"/>
        <v>#DIV/0!</v>
      </c>
      <c r="BD26" s="18">
        <v>0</v>
      </c>
      <c r="BE26" s="18">
        <v>0</v>
      </c>
      <c r="BF26" s="18" t="e">
        <f t="shared" si="30"/>
        <v>#DIV/0!</v>
      </c>
      <c r="BG26" s="18">
        <v>0</v>
      </c>
      <c r="BH26" s="18">
        <v>0</v>
      </c>
      <c r="BI26" s="18" t="e">
        <f t="shared" si="13"/>
        <v>#DIV/0!</v>
      </c>
      <c r="BJ26" s="24">
        <v>0</v>
      </c>
      <c r="BK26" s="24"/>
      <c r="BL26" s="18">
        <f t="shared" si="31"/>
        <v>0</v>
      </c>
      <c r="BM26" s="22">
        <v>0</v>
      </c>
      <c r="BN26" s="22">
        <v>0</v>
      </c>
      <c r="BO26" s="18" t="e">
        <f t="shared" si="14"/>
        <v>#DIV/0!</v>
      </c>
      <c r="BP26" s="22">
        <v>0</v>
      </c>
      <c r="BQ26" s="22">
        <v>0</v>
      </c>
      <c r="BR26" s="18" t="e">
        <f t="shared" si="22"/>
        <v>#DIV/0!</v>
      </c>
      <c r="BS26" s="22"/>
      <c r="BT26" s="22"/>
      <c r="BU26" s="22"/>
      <c r="BV26" s="22"/>
      <c r="BW26" s="22"/>
      <c r="BX26" s="18" t="e">
        <f t="shared" si="20"/>
        <v>#DIV/0!</v>
      </c>
    </row>
    <row r="27" spans="1:76" s="5" customFormat="1" ht="16.95" customHeight="1" x14ac:dyDescent="0.3">
      <c r="A27" s="3" t="s">
        <v>14</v>
      </c>
      <c r="B27" s="18">
        <f t="shared" si="1"/>
        <v>0</v>
      </c>
      <c r="C27" s="18">
        <f t="shared" si="2"/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2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20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 t="s">
        <v>1</v>
      </c>
      <c r="AP27" s="18">
        <v>0</v>
      </c>
      <c r="AQ27" s="18">
        <f t="shared" si="9"/>
        <v>0</v>
      </c>
      <c r="AR27" s="22">
        <v>0</v>
      </c>
      <c r="AS27" s="22">
        <v>0</v>
      </c>
      <c r="AT27" s="18">
        <v>0</v>
      </c>
      <c r="AU27" s="18" t="s">
        <v>1</v>
      </c>
      <c r="AV27" s="18" t="s">
        <v>1</v>
      </c>
      <c r="AW27" s="18">
        <v>0</v>
      </c>
      <c r="AX27" s="18">
        <v>0</v>
      </c>
      <c r="AY27" s="18">
        <v>0</v>
      </c>
      <c r="AZ27" s="18">
        <v>0</v>
      </c>
      <c r="BA27" s="27">
        <f>1657680-1352185-305495</f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24">
        <v>0</v>
      </c>
      <c r="BK27" s="24">
        <v>0</v>
      </c>
      <c r="BL27" s="18">
        <f t="shared" ref="BL27" si="32">BK27-BJ27</f>
        <v>0</v>
      </c>
      <c r="BM27" s="22">
        <v>0</v>
      </c>
      <c r="BN27" s="22">
        <v>0</v>
      </c>
      <c r="BO27" s="18">
        <v>0</v>
      </c>
      <c r="BP27" s="22">
        <v>0</v>
      </c>
      <c r="BQ27" s="22">
        <v>0</v>
      </c>
      <c r="BR27" s="18">
        <v>0</v>
      </c>
      <c r="BS27" s="22">
        <v>0</v>
      </c>
      <c r="BT27" s="22">
        <v>0</v>
      </c>
      <c r="BU27" s="18">
        <v>0</v>
      </c>
      <c r="BV27" s="18">
        <v>0</v>
      </c>
      <c r="BW27" s="18">
        <v>0</v>
      </c>
      <c r="BX27" s="18">
        <v>0</v>
      </c>
    </row>
    <row r="28" spans="1:76" s="7" customFormat="1" ht="19.95" customHeight="1" x14ac:dyDescent="0.3">
      <c r="A28" s="6" t="s">
        <v>15</v>
      </c>
      <c r="B28" s="29">
        <f>B6+B7+B8+B9+B10+B11+B12+B13+B14+B15+B16+B17+B18+B19+B20+B21+B22+B23+B24+B25+B26+B27</f>
        <v>39582713.600000001</v>
      </c>
      <c r="C28" s="29">
        <f>C6+C7+C8+C9+C10+C11+C12+C13+C14+C15+C16+C17+C18+C19+C20+C21+C22+C23+C24+C25+C26+C27</f>
        <v>39188357.899999999</v>
      </c>
      <c r="D28" s="29">
        <f t="shared" si="3"/>
        <v>99.003717370200704</v>
      </c>
      <c r="E28" s="29">
        <f>E6+E7+E8+E9+E10+E11+E12+E13+E14+E15+E16+E17+E18+E19+E20+E21+E22+E23+E24+E25+E26+E27</f>
        <v>1699404.7000000002</v>
      </c>
      <c r="F28" s="29">
        <f t="shared" ref="F28" si="33">F6+F7+F8+F9+F10+F11+F12+F13+F14+F15+F16+F17+F18+F19+F20+F21+F22+F23+F24+F25+F26+F27</f>
        <v>1604186.6</v>
      </c>
      <c r="G28" s="29">
        <f t="shared" si="15"/>
        <v>94.396973245984299</v>
      </c>
      <c r="H28" s="29">
        <f>H6+H7+H8+H9+H10+H11+H12+H13+H14+H15+H16+H17+H18+H19+H20+H21+H22+H23+H24+H25+H26+H27</f>
        <v>19821.699999999997</v>
      </c>
      <c r="I28" s="29">
        <f t="shared" ref="I28" si="34">I6+I7+I8+I9+I10+I11+I12+I13+I14+I15+I16+I17+I18+I19+I20+I21+I22+I23+I24+I25+I26+I27</f>
        <v>19821.599999999999</v>
      </c>
      <c r="J28" s="29">
        <f t="shared" si="4"/>
        <v>99.999495502403931</v>
      </c>
      <c r="K28" s="29">
        <f>K6+K7+K8+K9+K10+K11+K12+K13+K14+K15+K16+K17+K18+K19+K20+K21+K22+K23+K24+K25+K26+K27</f>
        <v>4462903.6999999993</v>
      </c>
      <c r="L28" s="29">
        <f t="shared" ref="L28" si="35">L6+L7+L8+L9+L10+L11+L12+L13+L14+L15+L16+L17+L18+L19+L20+L21+L22+L23+L24+L25+L26+L27</f>
        <v>4447920.9000000004</v>
      </c>
      <c r="M28" s="29">
        <f t="shared" si="5"/>
        <v>99.664281351175049</v>
      </c>
      <c r="N28" s="29">
        <f>N6+N7+N8+N9+N10+N11+N12+N13+N14+N15+N16+N17+N18+N19+N20+N21+N22+N23+N24+N25+N26+N27</f>
        <v>73421.7</v>
      </c>
      <c r="O28" s="29">
        <f t="shared" ref="O28" si="36">O6+O7+O8+O9+O10+O11+O12+O13+O14+O15+O16+O17+O18+O19+O20+O21+O22+O23+O24+O25+O26+O27</f>
        <v>73421.600000000006</v>
      </c>
      <c r="P28" s="29">
        <f t="shared" ref="P28" si="37">O28/N28*100</f>
        <v>99.999863800484064</v>
      </c>
      <c r="Q28" s="29">
        <f>Q6+Q7+Q8+Q9+Q10+Q11+Q12+Q13+Q14+Q15+Q16+Q17+Q18+Q19+Q20+Q21+Q22+Q23+Q24+Q25+Q26+Q27</f>
        <v>2416649.3000000003</v>
      </c>
      <c r="R28" s="29">
        <f t="shared" ref="R28:AD28" si="38">R6+R7+R8+R9+R10+R11+R12+R13+R14+R15+R16+R17+R18+R19+R20+R21+R22+R23+R24+R25+R26+R27</f>
        <v>2400030.4</v>
      </c>
      <c r="S28" s="29">
        <f t="shared" si="16"/>
        <v>99.312316437473967</v>
      </c>
      <c r="T28" s="29">
        <f t="shared" si="38"/>
        <v>138812.20000000001</v>
      </c>
      <c r="U28" s="29">
        <f t="shared" si="38"/>
        <v>138812.20000000001</v>
      </c>
      <c r="V28" s="29">
        <f t="shared" si="29"/>
        <v>100</v>
      </c>
      <c r="W28" s="29">
        <f t="shared" si="38"/>
        <v>331247.40000000002</v>
      </c>
      <c r="X28" s="29">
        <f t="shared" si="38"/>
        <v>328780.59999999998</v>
      </c>
      <c r="Y28" s="29">
        <f t="shared" si="7"/>
        <v>99.255299815183434</v>
      </c>
      <c r="Z28" s="29">
        <f t="shared" si="38"/>
        <v>9254.6</v>
      </c>
      <c r="AA28" s="29">
        <f t="shared" si="38"/>
        <v>8189.9</v>
      </c>
      <c r="AB28" s="29">
        <f t="shared" ref="AB28" si="39">AA28/Z28*100</f>
        <v>88.495450910898356</v>
      </c>
      <c r="AC28" s="29">
        <f t="shared" si="38"/>
        <v>434133.30000000005</v>
      </c>
      <c r="AD28" s="29">
        <f t="shared" si="38"/>
        <v>418085.3</v>
      </c>
      <c r="AE28" s="29">
        <f t="shared" si="17"/>
        <v>96.303439519612979</v>
      </c>
      <c r="AF28" s="29">
        <f t="shared" ref="AF28:AG28" si="40">AF6+AF7+AF8+AF9+AF10+AF11+AF12+AF13+AF14+AF15+AF16+AF17+AF18+AF19+AF20+AF21+AF22+AF23+AF24+AF25+AF26+AF27</f>
        <v>419259.8</v>
      </c>
      <c r="AG28" s="29">
        <f t="shared" si="40"/>
        <v>417564.90000000014</v>
      </c>
      <c r="AH28" s="29">
        <f t="shared" si="18"/>
        <v>99.595739920688828</v>
      </c>
      <c r="AI28" s="29">
        <f t="shared" ref="AI28" si="41">AI6+AI7+AI8+AI9+AI10+AI11+AI12+AI13+AI14+AI15+AI16+AI17+AI18+AI19+AI20+AI21+AI22+AI23+AI24+AI25+AI26+AI27</f>
        <v>3421652.1999999993</v>
      </c>
      <c r="AJ28" s="29">
        <f t="shared" ref="AJ28" si="42">AJ6+AJ7+AJ8+AJ9+AJ10+AJ11+AJ12+AJ13+AJ14+AJ15+AJ16+AJ17+AJ18+AJ19+AJ20+AJ21+AJ22+AJ23+AJ24+AJ25+AJ26+AJ27</f>
        <v>3421651.7999999993</v>
      </c>
      <c r="AK28" s="29">
        <f t="shared" si="8"/>
        <v>99.999988309741127</v>
      </c>
      <c r="AL28" s="29">
        <f>AL6+AL7+AL8+AL9+AL10+AL11+AL12+AL13+AL14+AL15+AL16+AL17+AL18+AL19+AL20+AL21+AL22+AL23+AL24+AL25+AL26+AL27</f>
        <v>208266.80000000002</v>
      </c>
      <c r="AM28" s="29">
        <f t="shared" ref="AM28" si="43">AM6+AM7+AM8+AM9+AM10+AM11+AM12+AM13+AM14+AM15+AM16+AM17+AM18+AM19+AM20+AM21+AM22+AM23+AM24+AM25+AM26+AM27</f>
        <v>208266.80000000002</v>
      </c>
      <c r="AN28" s="29">
        <f>AM28/AL28*100</f>
        <v>100</v>
      </c>
      <c r="AO28" s="29">
        <f t="shared" ref="AO28" si="44">AO6+AO7+AO8+AO9+AO10+AO11+AO12+AO13+AO14+AO15+AO16+AO17+AO18+AO19+AO20+AO21+AO22+AO23+AO24+AO25+AO26+AO27</f>
        <v>1147858</v>
      </c>
      <c r="AP28" s="29">
        <f t="shared" ref="AP28" si="45">AP6+AP7+AP8+AP9+AP10+AP11+AP12+AP13+AP14+AP15+AP16+AP17+AP18+AP19+AP20+AP21+AP22+AP23+AP24+AP25+AP26+AP27</f>
        <v>1147857.8999999999</v>
      </c>
      <c r="AQ28" s="29">
        <f t="shared" ref="AQ28" si="46">AQ6+AQ7+AQ8+AQ9+AQ10+AQ11+AQ12+AQ13+AQ14+AQ15+AQ16+AQ17+AQ18+AQ19+AQ20+AQ21+AQ22+AQ23+AQ24+AQ25+AQ26+AQ27</f>
        <v>99.999991288120995</v>
      </c>
      <c r="AR28" s="29">
        <f t="shared" ref="AR28" si="47">AR6+AR7+AR8+AR9+AR10+AR11+AR12+AR13+AR14+AR15+AR16+AR17+AR18+AR19+AR20+AR21+AR22+AR23+AR24+AR25+AR26+AR27</f>
        <v>1753148.6</v>
      </c>
      <c r="AS28" s="29">
        <f>AS6+AS7+AS8+AS9+AS10+AS11+AS12+AS13+AS14+AS15+AS16+AS17+AS18+AS19+AS20+AS21+AS22+AS23+AS24+AS25+AS26+AS27</f>
        <v>1753053.2</v>
      </c>
      <c r="AT28" s="18">
        <f>AS28/AR28*100</f>
        <v>99.994558362023611</v>
      </c>
      <c r="AU28" s="29">
        <f t="shared" ref="AU28" si="48">AU6+AU7+AU8+AU9+AU10+AU11+AU12+AU13+AU14+AU15+AU16+AU17+AU18+AU19+AU20+AU21+AU22+AU23+AU24+AU25+AU26+AU27</f>
        <v>176727.3</v>
      </c>
      <c r="AV28" s="29">
        <f t="shared" ref="AV28:AY28" si="49">AV6+AV7+AV8+AV9+AV10+AV11+AV12+AV13+AV14+AV15+AV16+AV17+AV18+AV19+AV20+AV21+AV22+AV23+AV24+AV25+AV26+AV27</f>
        <v>173434.1</v>
      </c>
      <c r="AW28" s="29">
        <f t="shared" si="10"/>
        <v>98.136564073575514</v>
      </c>
      <c r="AX28" s="29">
        <f t="shared" si="49"/>
        <v>123486.29999999999</v>
      </c>
      <c r="AY28" s="29">
        <f t="shared" si="49"/>
        <v>123334.39999999999</v>
      </c>
      <c r="AZ28" s="29">
        <f t="shared" si="11"/>
        <v>99.876990402983978</v>
      </c>
      <c r="BA28" s="30">
        <f t="shared" ref="BA28" si="50">BA6+BA7+BA8+BA9+BA10+BA11+BA12+BA13+BA14+BA15+BA16+BA17+BA18+BA19+BA20+BA21+BA22+BA23+BA24+BA25+BA26+BA27</f>
        <v>21760038.200000007</v>
      </c>
      <c r="BB28" s="29">
        <f t="shared" ref="BB28" si="51">BB6+BB7+BB8+BB9+BB10+BB11+BB12+BB13+BB14+BB15+BB16+BB17+BB18+BB19+BB20+BB21+BB22+BB23+BB24+BB25+BB26+BB27</f>
        <v>21603145.599999994</v>
      </c>
      <c r="BC28" s="29">
        <f t="shared" si="12"/>
        <v>99.278987478983311</v>
      </c>
      <c r="BD28" s="29">
        <f t="shared" ref="BD28" si="52">BD6+BD7+BD8+BD9+BD10+BD11+BD12+BD13+BD14+BD15+BD16+BD17+BD18+BD19+BD20+BD21+BD22+BD23+BD24+BD25+BD26+BD27</f>
        <v>3148.9</v>
      </c>
      <c r="BE28" s="29">
        <f t="shared" ref="BE28" si="53">BE6+BE7+BE8+BE9+BE10+BE11+BE12+BE13+BE14+BE15+BE16+BE17+BE18+BE19+BE20+BE21+BE22+BE23+BE24+BE25+BE26+BE27</f>
        <v>2105.9</v>
      </c>
      <c r="BF28" s="29">
        <f t="shared" si="30"/>
        <v>66.87732223951221</v>
      </c>
      <c r="BG28" s="29">
        <f t="shared" ref="BG28" si="54">BG6+BG7+BG8+BG9+BG10+BG11+BG12+BG13+BG14+BG15+BG16+BG17+BG18+BG19+BG20+BG21+BG22+BG23+BG24+BG25+BG26+BG27</f>
        <v>133605.19999999998</v>
      </c>
      <c r="BH28" s="29">
        <f t="shared" ref="BH28" si="55">BH6+BH7+BH8+BH9+BH10+BH11+BH12+BH13+BH14+BH15+BH16+BH17+BH18+BH19+BH20+BH21+BH22+BH23+BH24+BH25+BH26+BH27</f>
        <v>76660.499999999985</v>
      </c>
      <c r="BI28" s="29">
        <f t="shared" si="13"/>
        <v>57.378380482196803</v>
      </c>
      <c r="BJ28" s="29">
        <f t="shared" ref="BJ28:BQ28" si="56">BJ6+BJ7+BJ8+BJ9+BJ10+BJ11+BJ12+BJ13+BJ14+BJ15+BJ16+BJ17+BJ18+BJ19+BJ20+BJ21+BJ22+BJ23+BJ24+BJ25+BJ26+BJ27</f>
        <v>32243.5</v>
      </c>
      <c r="BK28" s="29">
        <f t="shared" si="56"/>
        <v>32243.5</v>
      </c>
      <c r="BL28" s="29">
        <f>BK28/BJ28*100</f>
        <v>100</v>
      </c>
      <c r="BM28" s="29">
        <f t="shared" si="56"/>
        <v>309562.2</v>
      </c>
      <c r="BN28" s="29">
        <f t="shared" si="56"/>
        <v>308712.2</v>
      </c>
      <c r="BO28" s="29">
        <f t="shared" si="14"/>
        <v>99.72541867191795</v>
      </c>
      <c r="BP28" s="29">
        <f t="shared" si="56"/>
        <v>161637.69999999998</v>
      </c>
      <c r="BQ28" s="29">
        <f t="shared" si="56"/>
        <v>156377.70000000001</v>
      </c>
      <c r="BR28" s="29">
        <f t="shared" si="22"/>
        <v>96.745808682009226</v>
      </c>
      <c r="BS28" s="29">
        <f t="shared" ref="BS28:BT28" si="57">BS6+BS7+BS8+BS9+BS10+BS11+BS12+BS13+BS14+BS15+BS16+BS17+BS18+BS19+BS20+BS21+BS22+BS23+BS24+BS25+BS26+BS27</f>
        <v>6004.2999999999993</v>
      </c>
      <c r="BT28" s="29">
        <f t="shared" si="57"/>
        <v>6004.2999999999993</v>
      </c>
      <c r="BU28" s="18">
        <f>BT28/BS28*100</f>
        <v>100</v>
      </c>
      <c r="BV28" s="29">
        <f>SUM(BV6:BV27)</f>
        <v>340426</v>
      </c>
      <c r="BW28" s="29">
        <f t="shared" ref="BW28" si="58">SUM(BW6:BW27)</f>
        <v>318696</v>
      </c>
      <c r="BX28" s="29">
        <f>BW28/BV28*100</f>
        <v>93.616821276870738</v>
      </c>
    </row>
    <row r="29" spans="1:76" ht="12.75" customHeight="1" x14ac:dyDescent="0.25">
      <c r="B29" s="14"/>
      <c r="C29" s="10"/>
      <c r="D29" s="10"/>
      <c r="E29" s="14"/>
      <c r="BA29" s="11" t="s">
        <v>16</v>
      </c>
      <c r="BB29" s="11" t="s">
        <v>16</v>
      </c>
      <c r="BC29" s="11" t="s">
        <v>16</v>
      </c>
    </row>
    <row r="30" spans="1:76" ht="12.75" customHeight="1" x14ac:dyDescent="0.25">
      <c r="B30" s="14"/>
      <c r="BA30" s="11" t="s">
        <v>16</v>
      </c>
      <c r="BB30" s="11" t="s">
        <v>16</v>
      </c>
      <c r="BC30" s="11" t="s">
        <v>16</v>
      </c>
    </row>
    <row r="31" spans="1:76" ht="12.75" customHeight="1" x14ac:dyDescent="0.25">
      <c r="B31" s="14"/>
    </row>
    <row r="32" spans="1:76" ht="12.75" customHeight="1" x14ac:dyDescent="0.25">
      <c r="B32" s="14"/>
    </row>
    <row r="33" spans="2:69" ht="12.75" customHeight="1" x14ac:dyDescent="0.25">
      <c r="B33" s="14"/>
    </row>
    <row r="34" spans="2:69" ht="15.6" customHeight="1" x14ac:dyDescent="0.25">
      <c r="B34" s="14"/>
      <c r="C34" s="15" t="s">
        <v>16</v>
      </c>
      <c r="E34" s="10"/>
      <c r="F34" s="10"/>
      <c r="J34" s="16"/>
      <c r="P34" s="16"/>
      <c r="R34" s="10"/>
      <c r="AE34" s="16"/>
      <c r="AG34" s="10"/>
      <c r="AH34" s="16"/>
      <c r="AI34" s="14"/>
      <c r="AJ34" s="10"/>
      <c r="AQ34" s="16"/>
      <c r="AV34" s="10"/>
      <c r="BA34" s="10"/>
      <c r="BB34" s="2"/>
      <c r="BG34" s="10"/>
      <c r="BN34" s="17"/>
      <c r="BQ34" s="17"/>
    </row>
  </sheetData>
  <mergeCells count="54">
    <mergeCell ref="AO3:AQ3"/>
    <mergeCell ref="Z5:AB5"/>
    <mergeCell ref="AC3:AE3"/>
    <mergeCell ref="A2:M2"/>
    <mergeCell ref="A3:A4"/>
    <mergeCell ref="B3:B4"/>
    <mergeCell ref="C3:C4"/>
    <mergeCell ref="Z3:AB3"/>
    <mergeCell ref="AI3:AK3"/>
    <mergeCell ref="AI5:AK5"/>
    <mergeCell ref="AL5:AN5"/>
    <mergeCell ref="AL3:AN3"/>
    <mergeCell ref="D3:D4"/>
    <mergeCell ref="B5:D5"/>
    <mergeCell ref="K3:M3"/>
    <mergeCell ref="K5:M5"/>
    <mergeCell ref="Q3:S3"/>
    <mergeCell ref="Q5:S5"/>
    <mergeCell ref="E5:G5"/>
    <mergeCell ref="H5:J5"/>
    <mergeCell ref="E3:G3"/>
    <mergeCell ref="H3:J3"/>
    <mergeCell ref="N3:P3"/>
    <mergeCell ref="N5:P5"/>
    <mergeCell ref="BV3:BX3"/>
    <mergeCell ref="AX3:AZ3"/>
    <mergeCell ref="AX5:AZ5"/>
    <mergeCell ref="BP5:BR5"/>
    <mergeCell ref="BP3:BR3"/>
    <mergeCell ref="BA3:BC3"/>
    <mergeCell ref="BA5:BC5"/>
    <mergeCell ref="BJ3:BL3"/>
    <mergeCell ref="BJ5:BL5"/>
    <mergeCell ref="BM3:BO3"/>
    <mergeCell ref="BM5:BO5"/>
    <mergeCell ref="BG3:BI3"/>
    <mergeCell ref="BD5:BF5"/>
    <mergeCell ref="BD3:BF3"/>
    <mergeCell ref="BG5:BI5"/>
    <mergeCell ref="I1:M1"/>
    <mergeCell ref="T5:V5"/>
    <mergeCell ref="BS3:BU3"/>
    <mergeCell ref="BS5:BU5"/>
    <mergeCell ref="AC5:AE5"/>
    <mergeCell ref="AU3:AW3"/>
    <mergeCell ref="AU5:AW5"/>
    <mergeCell ref="AR5:AT5"/>
    <mergeCell ref="AR3:AT3"/>
    <mergeCell ref="T3:V3"/>
    <mergeCell ref="AF3:AH3"/>
    <mergeCell ref="AF5:AH5"/>
    <mergeCell ref="AO5:AQ5"/>
    <mergeCell ref="W3:Y3"/>
    <mergeCell ref="W5:Y5"/>
  </mergeCells>
  <pageMargins left="0.59055118110236227" right="0.59055118110236227" top="0.31496062992125984" bottom="0.31496062992125984" header="0.31496062992125984" footer="0.31496062992125984"/>
  <pageSetup paperSize="9" scale="75" fitToWidth="0" fitToHeight="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3.2" x14ac:dyDescent="0.25"/>
  <cols>
    <col min="1" max="1" width="62.44140625" customWidth="1"/>
    <col min="2" max="5" width="8.77734375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Matrix1</vt:lpstr>
      <vt:lpstr>Лист1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2023-06-06T04:49:57Z</dcterms:modified>
</cp:coreProperties>
</file>