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-108" yWindow="-48" windowWidth="19416" windowHeight="10356"/>
  </bookViews>
  <sheets>
    <sheet name="Matrix1" sheetId="1" r:id="rId1"/>
    <sheet name="Лист1" sheetId="2" r:id="rId2"/>
  </sheets>
  <definedNames>
    <definedName name="_xlnm.Print_Titles" localSheetId="0">Matrix1!$A:$A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" l="1"/>
  <c r="DF6" i="1" l="1"/>
  <c r="BM6" i="1"/>
  <c r="L13" i="1"/>
  <c r="DG15" i="1"/>
  <c r="BD21" i="1"/>
  <c r="BD15" i="1"/>
  <c r="DF9" i="1" l="1"/>
  <c r="DG6" i="1"/>
  <c r="K22" i="1"/>
  <c r="K19" i="1"/>
  <c r="K18" i="1"/>
  <c r="K17" i="1"/>
  <c r="K6" i="1"/>
  <c r="DQ18" i="1"/>
  <c r="DQ17" i="1"/>
  <c r="DQ15" i="1"/>
  <c r="DQ14" i="1"/>
  <c r="DQ7" i="1"/>
  <c r="DK13" i="1"/>
  <c r="DK15" i="1"/>
  <c r="DK17" i="1"/>
  <c r="DK10" i="1"/>
  <c r="DK9" i="1"/>
  <c r="DG8" i="1"/>
  <c r="DF17" i="1"/>
  <c r="DF8" i="1"/>
  <c r="DG18" i="1"/>
  <c r="BM22" i="1"/>
  <c r="BM18" i="1"/>
  <c r="CV18" i="1"/>
  <c r="BQ7" i="1"/>
  <c r="BQ8" i="1"/>
  <c r="BQ9" i="1"/>
  <c r="BQ10" i="1"/>
  <c r="BQ11" i="1"/>
  <c r="BQ12" i="1"/>
  <c r="BQ13" i="1"/>
  <c r="BQ14" i="1"/>
  <c r="BQ16" i="1"/>
  <c r="BQ17" i="1"/>
  <c r="BQ18" i="1"/>
  <c r="BQ19" i="1"/>
  <c r="BQ20" i="1"/>
  <c r="BQ22" i="1"/>
  <c r="BQ23" i="1"/>
  <c r="BQ24" i="1"/>
  <c r="BQ25" i="1"/>
  <c r="BQ26" i="1"/>
  <c r="BQ27" i="1"/>
  <c r="BP7" i="1"/>
  <c r="BP8" i="1"/>
  <c r="BP9" i="1"/>
  <c r="BP10" i="1"/>
  <c r="BP11" i="1"/>
  <c r="BP12" i="1"/>
  <c r="BP13" i="1"/>
  <c r="BP14" i="1"/>
  <c r="BP16" i="1"/>
  <c r="BP17" i="1"/>
  <c r="BP18" i="1"/>
  <c r="BP19" i="1"/>
  <c r="BP20" i="1"/>
  <c r="BP22" i="1"/>
  <c r="BP23" i="1"/>
  <c r="BP24" i="1"/>
  <c r="BP25" i="1"/>
  <c r="BP26" i="1"/>
  <c r="BP27" i="1"/>
  <c r="CU28" i="1"/>
  <c r="CT28" i="1"/>
  <c r="CV17" i="1"/>
  <c r="BM11" i="1"/>
  <c r="BM8" i="1"/>
  <c r="DU27" i="1"/>
  <c r="BM7" i="1"/>
  <c r="CS18" i="1"/>
  <c r="CS17" i="1"/>
  <c r="CX21" i="1"/>
  <c r="BQ21" i="1" s="1"/>
  <c r="CX15" i="1"/>
  <c r="BQ15" i="1" s="1"/>
  <c r="BW6" i="1"/>
  <c r="BQ6" i="1" s="1"/>
  <c r="BD10" i="1"/>
  <c r="BD19" i="1"/>
  <c r="BD23" i="1"/>
  <c r="BE23" i="1"/>
  <c r="BE22" i="1"/>
  <c r="BE21" i="1"/>
  <c r="BE19" i="1"/>
  <c r="BE18" i="1"/>
  <c r="BD17" i="1"/>
  <c r="BE17" i="1"/>
  <c r="BE16" i="1"/>
  <c r="BE15" i="1"/>
  <c r="BD14" i="1"/>
  <c r="BE14" i="1"/>
  <c r="BD13" i="1"/>
  <c r="BE13" i="1"/>
  <c r="BD12" i="1"/>
  <c r="BD11" i="1"/>
  <c r="BE11" i="1"/>
  <c r="BE10" i="1"/>
  <c r="BD9" i="1"/>
  <c r="BE9" i="1"/>
  <c r="BE8" i="1"/>
  <c r="BE7" i="1"/>
  <c r="BE6" i="1"/>
  <c r="AU10" i="1"/>
  <c r="AU23" i="1"/>
  <c r="AU22" i="1"/>
  <c r="AU16" i="1"/>
  <c r="AU15" i="1"/>
  <c r="AU14" i="1"/>
  <c r="AU13" i="1"/>
  <c r="AU7" i="1"/>
  <c r="AU8" i="1"/>
  <c r="AV7" i="1"/>
  <c r="AU6" i="1"/>
  <c r="AV6" i="1"/>
  <c r="AR9" i="1"/>
  <c r="AT22" i="1"/>
  <c r="AT19" i="1"/>
  <c r="AT17" i="1"/>
  <c r="AT13" i="1"/>
  <c r="AT12" i="1"/>
  <c r="AL8" i="1"/>
  <c r="AM8" i="1"/>
  <c r="AM6" i="1"/>
  <c r="AK21" i="1"/>
  <c r="AK17" i="1"/>
  <c r="AK6" i="1"/>
  <c r="AH13" i="1"/>
  <c r="AH15" i="1"/>
  <c r="AH16" i="1"/>
  <c r="AH17" i="1"/>
  <c r="AH18" i="1"/>
  <c r="AH20" i="1"/>
  <c r="AH21" i="1"/>
  <c r="AH22" i="1"/>
  <c r="AH23" i="1"/>
  <c r="AH24" i="1"/>
  <c r="AH25" i="1"/>
  <c r="AH26" i="1"/>
  <c r="AG19" i="1"/>
  <c r="AH19" i="1" s="1"/>
  <c r="AG14" i="1"/>
  <c r="AH14" i="1" s="1"/>
  <c r="AG12" i="1"/>
  <c r="AG11" i="1"/>
  <c r="AG10" i="1"/>
  <c r="AG9" i="1"/>
  <c r="AG8" i="1"/>
  <c r="AG7" i="1"/>
  <c r="AB17" i="1"/>
  <c r="AB7" i="1"/>
  <c r="AB8" i="1"/>
  <c r="AB9" i="1"/>
  <c r="AB6" i="1"/>
  <c r="CV28" i="1" l="1"/>
  <c r="T23" i="1"/>
  <c r="T22" i="1"/>
  <c r="T21" i="1"/>
  <c r="T16" i="1"/>
  <c r="T14" i="1"/>
  <c r="T13" i="1"/>
  <c r="T12" i="1"/>
  <c r="T11" i="1"/>
  <c r="T8" i="1"/>
  <c r="T6" i="1"/>
  <c r="P15" i="1"/>
  <c r="L23" i="1"/>
  <c r="L22" i="1"/>
  <c r="L21" i="1"/>
  <c r="L20" i="1"/>
  <c r="L19" i="1"/>
  <c r="L17" i="1"/>
  <c r="L16" i="1"/>
  <c r="L14" i="1"/>
  <c r="L12" i="1"/>
  <c r="L11" i="1"/>
  <c r="L10" i="1"/>
  <c r="L9" i="1"/>
  <c r="K8" i="1"/>
  <c r="L8" i="1"/>
  <c r="L7" i="1"/>
  <c r="L6" i="1"/>
  <c r="G22" i="1"/>
  <c r="F7" i="1"/>
  <c r="F6" i="1"/>
  <c r="E6" i="1"/>
  <c r="CA22" i="1" l="1"/>
  <c r="CW21" i="1"/>
  <c r="CW15" i="1"/>
  <c r="DW8" i="1"/>
  <c r="CY15" i="1" l="1"/>
  <c r="BP15" i="1"/>
  <c r="CY21" i="1"/>
  <c r="BP21" i="1"/>
  <c r="C7" i="1"/>
  <c r="C15" i="1"/>
  <c r="C16" i="1"/>
  <c r="C18" i="1"/>
  <c r="C21" i="1"/>
  <c r="C24" i="1"/>
  <c r="C25" i="1"/>
  <c r="C26" i="1"/>
  <c r="C27" i="1"/>
  <c r="C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6" i="1"/>
  <c r="CB28" i="1" l="1"/>
  <c r="BT28" i="1"/>
  <c r="BZ28" i="1"/>
  <c r="BY28" i="1"/>
  <c r="BX22" i="1"/>
  <c r="CP15" i="1"/>
  <c r="CM14" i="1"/>
  <c r="CJ14" i="1"/>
  <c r="CM10" i="1"/>
  <c r="CJ10" i="1"/>
  <c r="BU10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U9" i="1"/>
  <c r="BU8" i="1"/>
  <c r="BU7" i="1"/>
  <c r="CA6" i="1"/>
  <c r="BU6" i="1"/>
  <c r="BR7" i="1"/>
  <c r="BR9" i="1"/>
  <c r="BR16" i="1"/>
  <c r="BV6" i="1"/>
  <c r="CG6" i="1"/>
  <c r="CG28" i="1" s="1"/>
  <c r="CD6" i="1"/>
  <c r="CD28" i="1" s="1"/>
  <c r="BS28" i="1"/>
  <c r="BW28" i="1"/>
  <c r="CC28" i="1"/>
  <c r="CE28" i="1"/>
  <c r="CF28" i="1"/>
  <c r="CH28" i="1"/>
  <c r="CI28" i="1"/>
  <c r="CK28" i="1"/>
  <c r="CL28" i="1"/>
  <c r="CN28" i="1"/>
  <c r="CO28" i="1"/>
  <c r="CQ28" i="1"/>
  <c r="CR28" i="1"/>
  <c r="CW28" i="1"/>
  <c r="CX28" i="1"/>
  <c r="BX6" i="1" l="1"/>
  <c r="BP6" i="1"/>
  <c r="CY28" i="1"/>
  <c r="BR26" i="1"/>
  <c r="BR24" i="1"/>
  <c r="BR20" i="1"/>
  <c r="CS28" i="1"/>
  <c r="CP28" i="1"/>
  <c r="BR25" i="1"/>
  <c r="BR21" i="1"/>
  <c r="CJ28" i="1"/>
  <c r="BR23" i="1"/>
  <c r="BR13" i="1"/>
  <c r="BR10" i="1"/>
  <c r="BR6" i="1"/>
  <c r="BR18" i="1"/>
  <c r="CM28" i="1"/>
  <c r="CA28" i="1"/>
  <c r="BR22" i="1"/>
  <c r="BR19" i="1"/>
  <c r="BR17" i="1"/>
  <c r="BR15" i="1"/>
  <c r="BR14" i="1"/>
  <c r="BR12" i="1"/>
  <c r="BR11" i="1"/>
  <c r="BU28" i="1"/>
  <c r="BR8" i="1"/>
  <c r="BV28" i="1"/>
  <c r="BX28" i="1" s="1"/>
  <c r="C20" i="1"/>
  <c r="C23" i="1" l="1"/>
  <c r="C22" i="1"/>
  <c r="C19" i="1"/>
  <c r="C17" i="1"/>
  <c r="C14" i="1"/>
  <c r="C13" i="1"/>
  <c r="C12" i="1"/>
  <c r="C11" i="1"/>
  <c r="C9" i="1"/>
  <c r="C8" i="1"/>
  <c r="C10" i="1" l="1"/>
  <c r="AH9" i="1" l="1"/>
  <c r="AH10" i="1"/>
  <c r="P21" i="1" l="1"/>
  <c r="DV28" i="1" l="1"/>
  <c r="DU28" i="1"/>
  <c r="DW13" i="1"/>
  <c r="DW28" i="1" l="1"/>
  <c r="DK22" i="1"/>
  <c r="DK6" i="1"/>
  <c r="P22" i="1"/>
  <c r="DN7" i="1" l="1"/>
  <c r="DN8" i="1"/>
  <c r="DN9" i="1"/>
  <c r="DN10" i="1"/>
  <c r="DN11" i="1"/>
  <c r="DN12" i="1"/>
  <c r="DN13" i="1"/>
  <c r="DN14" i="1"/>
  <c r="DN15" i="1"/>
  <c r="DN16" i="1"/>
  <c r="DN17" i="1"/>
  <c r="DN18" i="1"/>
  <c r="DN19" i="1"/>
  <c r="DN20" i="1"/>
  <c r="DN21" i="1"/>
  <c r="DN22" i="1"/>
  <c r="DN23" i="1"/>
  <c r="DN24" i="1"/>
  <c r="DN25" i="1"/>
  <c r="DN26" i="1"/>
  <c r="DH7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B9" i="1"/>
  <c r="DB15" i="1"/>
  <c r="DB20" i="1"/>
  <c r="DB21" i="1"/>
  <c r="DB24" i="1"/>
  <c r="DB25" i="1"/>
  <c r="DB2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1" i="1"/>
  <c r="BO22" i="1"/>
  <c r="BO23" i="1"/>
  <c r="BO24" i="1"/>
  <c r="BO25" i="1"/>
  <c r="BO2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T8" i="1"/>
  <c r="AT9" i="1"/>
  <c r="AT10" i="1"/>
  <c r="AT14" i="1"/>
  <c r="AT15" i="1"/>
  <c r="AT18" i="1"/>
  <c r="AT24" i="1"/>
  <c r="AT25" i="1"/>
  <c r="AT26" i="1"/>
  <c r="DQ8" i="1"/>
  <c r="DQ9" i="1"/>
  <c r="DQ10" i="1"/>
  <c r="DQ11" i="1"/>
  <c r="DQ12" i="1"/>
  <c r="DQ13" i="1"/>
  <c r="DQ19" i="1"/>
  <c r="DQ21" i="1"/>
  <c r="DQ22" i="1"/>
  <c r="DQ24" i="1"/>
  <c r="DQ25" i="1"/>
  <c r="DQ26" i="1"/>
  <c r="DT13" i="1"/>
  <c r="DQ6" i="1"/>
  <c r="DN6" i="1"/>
  <c r="DH6" i="1"/>
  <c r="DB6" i="1"/>
  <c r="BO6" i="1"/>
  <c r="BL6" i="1"/>
  <c r="BF6" i="1"/>
  <c r="BC6" i="1"/>
  <c r="AZ6" i="1"/>
  <c r="AW6" i="1"/>
  <c r="AT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6" i="1"/>
  <c r="AK24" i="1"/>
  <c r="AK25" i="1"/>
  <c r="AK26" i="1"/>
  <c r="AH7" i="1"/>
  <c r="AH8" i="1"/>
  <c r="AH11" i="1"/>
  <c r="AH12" i="1"/>
  <c r="AH6" i="1"/>
  <c r="AB24" i="1"/>
  <c r="AB25" i="1"/>
  <c r="AB2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6" i="1"/>
  <c r="G9" i="1"/>
  <c r="G10" i="1"/>
  <c r="G11" i="1"/>
  <c r="G12" i="1"/>
  <c r="G13" i="1"/>
  <c r="G14" i="1"/>
  <c r="G15" i="1"/>
  <c r="G17" i="1"/>
  <c r="G18" i="1"/>
  <c r="G19" i="1"/>
  <c r="G21" i="1"/>
  <c r="G23" i="1"/>
  <c r="G24" i="1"/>
  <c r="G25" i="1"/>
  <c r="G26" i="1"/>
  <c r="BD27" i="1" l="1"/>
  <c r="BF27" i="1" s="1"/>
  <c r="N27" i="1"/>
  <c r="B27" i="1" s="1"/>
  <c r="G7" i="1" l="1"/>
  <c r="G8" i="1"/>
  <c r="G6" i="1" l="1"/>
  <c r="DK24" i="1" l="1"/>
  <c r="DK25" i="1"/>
  <c r="DK26" i="1"/>
  <c r="D6" i="1" l="1"/>
  <c r="DO28" i="1"/>
  <c r="DP28" i="1"/>
  <c r="D27" i="1" l="1"/>
  <c r="D25" i="1"/>
  <c r="D23" i="1"/>
  <c r="D21" i="1"/>
  <c r="D19" i="1"/>
  <c r="D17" i="1"/>
  <c r="D15" i="1"/>
  <c r="D13" i="1"/>
  <c r="D11" i="1"/>
  <c r="DQ28" i="1"/>
  <c r="D26" i="1"/>
  <c r="D24" i="1"/>
  <c r="D22" i="1"/>
  <c r="D20" i="1"/>
  <c r="D18" i="1"/>
  <c r="D16" i="1"/>
  <c r="D14" i="1"/>
  <c r="D12" i="1"/>
  <c r="D10" i="1"/>
  <c r="D8" i="1"/>
  <c r="D7" i="1"/>
  <c r="D9" i="1"/>
  <c r="DS28" i="1"/>
  <c r="DR28" i="1"/>
  <c r="DT27" i="1"/>
  <c r="DT28" i="1" l="1"/>
  <c r="DK27" i="1"/>
  <c r="DI28" i="1"/>
  <c r="DJ28" i="1"/>
  <c r="DL28" i="1"/>
  <c r="DM28" i="1"/>
  <c r="DK28" i="1" l="1"/>
  <c r="DN28" i="1"/>
  <c r="AX28" i="1"/>
  <c r="AS28" i="1"/>
  <c r="DE7" i="1" l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6" i="1"/>
  <c r="P7" i="1"/>
  <c r="P8" i="1"/>
  <c r="P9" i="1"/>
  <c r="P10" i="1"/>
  <c r="P11" i="1"/>
  <c r="P12" i="1"/>
  <c r="P13" i="1"/>
  <c r="P14" i="1"/>
  <c r="P16" i="1"/>
  <c r="P17" i="1"/>
  <c r="P18" i="1"/>
  <c r="P19" i="1"/>
  <c r="P20" i="1"/>
  <c r="P23" i="1"/>
  <c r="P24" i="1"/>
  <c r="P25" i="1"/>
  <c r="P26" i="1"/>
  <c r="P6" i="1"/>
  <c r="P27" i="1" l="1"/>
  <c r="BA28" i="1" l="1"/>
  <c r="BB28" i="1"/>
  <c r="BC28" i="1"/>
  <c r="BD28" i="1"/>
  <c r="BE28" i="1"/>
  <c r="BG28" i="1"/>
  <c r="BH28" i="1"/>
  <c r="BI28" i="1"/>
  <c r="BJ28" i="1"/>
  <c r="BK28" i="1"/>
  <c r="BM28" i="1"/>
  <c r="BN28" i="1"/>
  <c r="BP28" i="1"/>
  <c r="BQ28" i="1"/>
  <c r="CZ28" i="1"/>
  <c r="DA28" i="1"/>
  <c r="DC28" i="1"/>
  <c r="DD28" i="1"/>
  <c r="DE28" i="1"/>
  <c r="DF28" i="1"/>
  <c r="DG28" i="1"/>
  <c r="AY28" i="1"/>
  <c r="AU28" i="1"/>
  <c r="AV28" i="1"/>
  <c r="AP28" i="1"/>
  <c r="AQ28" i="1"/>
  <c r="AR28" i="1"/>
  <c r="U28" i="1"/>
  <c r="W28" i="1"/>
  <c r="X28" i="1"/>
  <c r="Y28" i="1"/>
  <c r="Z28" i="1"/>
  <c r="AA28" i="1"/>
  <c r="AC28" i="1"/>
  <c r="AD28" i="1"/>
  <c r="AE28" i="1"/>
  <c r="AF28" i="1"/>
  <c r="AG28" i="1"/>
  <c r="AI28" i="1"/>
  <c r="AJ28" i="1"/>
  <c r="AL28" i="1"/>
  <c r="AM28" i="1"/>
  <c r="AO28" i="1"/>
  <c r="O28" i="1"/>
  <c r="L28" i="1"/>
  <c r="I28" i="1"/>
  <c r="F28" i="1"/>
  <c r="BR28" i="1" l="1"/>
  <c r="DH28" i="1"/>
  <c r="AB28" i="1"/>
  <c r="AK28" i="1"/>
  <c r="AW28" i="1"/>
  <c r="DB28" i="1"/>
  <c r="BF28" i="1"/>
  <c r="BL28" i="1"/>
  <c r="BO28" i="1"/>
  <c r="AT28" i="1"/>
  <c r="AN28" i="1"/>
  <c r="AH28" i="1"/>
  <c r="AZ28" i="1"/>
  <c r="H28" i="1" l="1"/>
  <c r="K28" i="1"/>
  <c r="N28" i="1"/>
  <c r="Q28" i="1"/>
  <c r="T28" i="1"/>
  <c r="M28" i="1" l="1"/>
  <c r="J28" i="1"/>
  <c r="V28" i="1"/>
  <c r="P28" i="1"/>
  <c r="C28" i="1"/>
  <c r="R28" i="1"/>
  <c r="S27" i="1"/>
  <c r="S28" i="1" l="1"/>
  <c r="E28" i="1" l="1"/>
  <c r="G28" i="1" l="1"/>
  <c r="B28" i="1"/>
  <c r="D28" i="1" l="1"/>
</calcChain>
</file>

<file path=xl/sharedStrings.xml><?xml version="1.0" encoding="utf-8"?>
<sst xmlns="http://schemas.openxmlformats.org/spreadsheetml/2006/main" count="313" uniqueCount="77">
  <si>
    <t>социальные выплаты для участия в строительстве жилья в составе жилищно-строительных кооперативов (63050 )</t>
  </si>
  <si>
    <t>мероприятия по обеспечению безаварийной работы жилищно-коммунального комплекса (63070 )</t>
  </si>
  <si>
    <t>проведение мероприятий по безопасности дорожного движения и профилактике правонарушений (63100 )</t>
  </si>
  <si>
    <t>развитие инвестиционного потенциала в Сахалинской области (63140 )</t>
  </si>
  <si>
    <t>реализация мероприятий федеральной целевой программы "Социально-экономическое развитие Курильских островов (Сахалинская область) на 2007-2015 годы (51000, R1000 )</t>
  </si>
  <si>
    <t>повышение сейсмоустойчивости жилых домов, основных объектов и систем жизнеобеспечения (51050, 61060, R1050 )</t>
  </si>
  <si>
    <t>Городской округ "Город Южно-Сахалинск"</t>
  </si>
  <si>
    <t>0,00</t>
  </si>
  <si>
    <t>Городской округ "Охинский"</t>
  </si>
  <si>
    <t>Поронайский городской округ</t>
  </si>
  <si>
    <t>"Холмский городской округ" Сахалинской области</t>
  </si>
  <si>
    <t>"Анивский городской округ"</t>
  </si>
  <si>
    <t>"Курильский городской округ"</t>
  </si>
  <si>
    <t>"Макаровский городской округ" Сахалинской области</t>
  </si>
  <si>
    <t>"Городской округ Ногликский"</t>
  </si>
  <si>
    <t>Городской округ "Смирныховский"</t>
  </si>
  <si>
    <t>Северо-Курильский городской округ</t>
  </si>
  <si>
    <t>"Тымовский городской округ"</t>
  </si>
  <si>
    <t>"Южно-Курильский городской округ"</t>
  </si>
  <si>
    <t>Углегорское городское поселение Углегорского муниципального района Сахалинской области</t>
  </si>
  <si>
    <t>Шахтерское городское поселение Углегорского муниципального района Сахалинской области</t>
  </si>
  <si>
    <t>Бошняковское сельское поселение Углегорского муниципального района Сахалинской области</t>
  </si>
  <si>
    <t>Нераспределенная сумма</t>
  </si>
  <si>
    <t>Всего</t>
  </si>
  <si>
    <t>отклонение</t>
  </si>
  <si>
    <t>план первоначальный</t>
  </si>
  <si>
    <t>план с учетом поправки</t>
  </si>
  <si>
    <t xml:space="preserve"> </t>
  </si>
  <si>
    <t>на реализацию Комплексного плана первоочередных мероприятий по развитию Углегорского городского округа (63290)</t>
  </si>
  <si>
    <t>кассовое исполнение</t>
  </si>
  <si>
    <t xml:space="preserve">план  </t>
  </si>
  <si>
    <t>остаток</t>
  </si>
  <si>
    <t>Кассовое исполнение</t>
  </si>
  <si>
    <t>% исполнения</t>
  </si>
  <si>
    <t>"Невельской городской округ"</t>
  </si>
  <si>
    <t>Углегорский городской округ</t>
  </si>
  <si>
    <t>ВСЕГО субсидии 2021 год</t>
  </si>
  <si>
    <t xml:space="preserve">развитие образования  </t>
  </si>
  <si>
    <t xml:space="preserve">на обеспечение доступности приоритетных объектов и услуг в приоритетных сферах жизнедеятельности на территории муниципальных образований  </t>
  </si>
  <si>
    <t xml:space="preserve">на осуществление мероприятий по повышению качества предоставляемых жилищно-коммунальных услуг  </t>
  </si>
  <si>
    <t xml:space="preserve">на создание условий для развития туризма  </t>
  </si>
  <si>
    <t xml:space="preserve">развитие культуры  </t>
  </si>
  <si>
    <t xml:space="preserve">на реализацию мероприятий по охране окружающей среды, экологической реабилитации и воспроизводству природных объектов  </t>
  </si>
  <si>
    <t xml:space="preserve">развитие физической культуры и спорта  </t>
  </si>
  <si>
    <t xml:space="preserve">на софинансирование расходов муниципальных образований в сфере транспорта и дорожного хозяйства  </t>
  </si>
  <si>
    <t xml:space="preserve">на осуществление функций административного центра Сахалинской области  </t>
  </si>
  <si>
    <t xml:space="preserve">на поддержку муниципальных программ формирования современной городской среды  </t>
  </si>
  <si>
    <t xml:space="preserve">на развитие агропромышленного комплекса  </t>
  </si>
  <si>
    <t xml:space="preserve">софинансирование капитальных вложений в объекты муниципальной собственности  </t>
  </si>
  <si>
    <t xml:space="preserve">на проведение комплекса мероприятий по борьбе с борщевиком Сосновского на территории Сахалинской области  </t>
  </si>
  <si>
    <t xml:space="preserve">на реализацию мероприятий по обустройству (созданию) мест (площадок) накопления твердых коммунальных отходов  </t>
  </si>
  <si>
    <t xml:space="preserve">на проведение комплексных кадастровых работ  </t>
  </si>
  <si>
    <t xml:space="preserve">на реализацию инициативных проектов в Сахалинской области  </t>
  </si>
  <si>
    <t xml:space="preserve">на софинансирование капитальных вложений в объекты муниципальной собственности, реализуемые в рамках концессионных соглашений  </t>
  </si>
  <si>
    <t xml:space="preserve"> на обеспечение населения качественным жильем
  </t>
  </si>
  <si>
    <t xml:space="preserve">организация электро- тепло-, газоснабжения  </t>
  </si>
  <si>
    <t xml:space="preserve">на улучшение жилищных условий граждан, проживающих на сельских территориях
  </t>
  </si>
  <si>
    <t xml:space="preserve">на софинансирование мероприятий муниципальных программ по поддержке и развитию субъектов малого и среднего предпринимательства, организаций, образующих инфраструктуру поддержки субъектов малого и среднего предпринимательства  </t>
  </si>
  <si>
    <t xml:space="preserve">на реализацию в Сахалинской области общественно значимых проектов в рамках проекта "Молодежный бюджет" </t>
  </si>
  <si>
    <t>допместа для детей от 1,5 до 3 лет в обр учр ( 52320)</t>
  </si>
  <si>
    <t>развитие транспортной инфраструктуры на сельских территориях                                                                                                                          R 3720</t>
  </si>
  <si>
    <t>обеспечение мер-й по модернизации систем коммунальной инфраструктуры 09505</t>
  </si>
  <si>
    <t>обеспечение мер-й по модернизации систем коммунальной инфраструктуры 09605</t>
  </si>
  <si>
    <t>всего</t>
  </si>
  <si>
    <t>стр-во и реконструкция объектов питьевого водоснабжения 52430</t>
  </si>
  <si>
    <t>стр-во и реконструкция объектов питьевого водоснабжения (Д2430)</t>
  </si>
  <si>
    <t>допместа для детей от 1,5 до 3 лет в обр учр (Д2320)</t>
  </si>
  <si>
    <t>допместа для детей от 1,5 до 3 лет в обр учр ( 55200)</t>
  </si>
  <si>
    <t>переселение граждан (67483, 67484)</t>
  </si>
  <si>
    <t xml:space="preserve">  </t>
  </si>
  <si>
    <t>D5200</t>
  </si>
  <si>
    <t xml:space="preserve">Городской округ "Александровск-Сахалинский район"  </t>
  </si>
  <si>
    <t xml:space="preserve">Городской округ "Долинский"  </t>
  </si>
  <si>
    <t xml:space="preserve">"Корсаковский городской округ" </t>
  </si>
  <si>
    <t xml:space="preserve">"Томаринский городской округ"  </t>
  </si>
  <si>
    <t>Исполнение субсидий, предоставляемых муниципальным образованиям Сахалинской области, в 2021 году.</t>
  </si>
  <si>
    <t>Приложение № 6 к заключению КСП на отчет об исполнении областного бюджета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</si>
</sst>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р_."/>
    <numFmt numFmtId="165" formatCode="#,##0.0\ _₽"/>
    <numFmt numFmtId="166" formatCode="0.0"/>
  </numFmts>
  <fonts count="7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33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right" wrapText="1"/>
    </xf>
    <xf numFmtId="165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166" fontId="2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30"/>
  <sheetViews>
    <sheetView tabSelected="1" zoomScaleNormal="100" workbookViewId="0">
      <pane xSplit="1" topLeftCell="B1" activePane="topRight" state="frozen"/>
      <selection pane="topRight" activeCell="B2" sqref="B2:M2"/>
    </sheetView>
  </sheetViews>
  <sheetFormatPr defaultRowHeight="13.2" x14ac:dyDescent="0.25"/>
  <cols>
    <col min="1" max="1" width="40" customWidth="1"/>
    <col min="2" max="2" width="15.21875" style="3" customWidth="1"/>
    <col min="3" max="3" width="14.44140625" style="3" customWidth="1"/>
    <col min="4" max="4" width="8.88671875" style="3" customWidth="1"/>
    <col min="5" max="5" width="14.6640625" style="3" customWidth="1"/>
    <col min="6" max="6" width="12.6640625" style="3" customWidth="1"/>
    <col min="7" max="7" width="8.77734375" style="3" customWidth="1"/>
    <col min="8" max="8" width="11.5546875" style="3" customWidth="1"/>
    <col min="9" max="9" width="12.5546875" style="3" customWidth="1"/>
    <col min="10" max="10" width="8.77734375" style="3" customWidth="1"/>
    <col min="11" max="11" width="14.109375" style="3" customWidth="1"/>
    <col min="12" max="12" width="14.33203125" style="3" customWidth="1"/>
    <col min="13" max="13" width="8.5546875" style="3" customWidth="1"/>
    <col min="14" max="14" width="13.109375" style="3" customWidth="1"/>
    <col min="15" max="15" width="13.6640625" style="3" customWidth="1"/>
    <col min="16" max="16" width="8.6640625" style="3" customWidth="1"/>
    <col min="17" max="19" width="16.77734375" style="3" hidden="1" customWidth="1"/>
    <col min="20" max="20" width="14.5546875" style="3" customWidth="1"/>
    <col min="21" max="21" width="13.6640625" style="3" customWidth="1"/>
    <col min="22" max="22" width="8.5546875" style="3" customWidth="1"/>
    <col min="23" max="25" width="16.77734375" style="3" hidden="1" customWidth="1"/>
    <col min="26" max="26" width="14.109375" style="3" customWidth="1"/>
    <col min="27" max="27" width="13.88671875" style="3" customWidth="1"/>
    <col min="28" max="28" width="8.6640625" style="3" customWidth="1"/>
    <col min="29" max="31" width="16.77734375" style="3" hidden="1" customWidth="1"/>
    <col min="32" max="32" width="14.109375" style="3" customWidth="1"/>
    <col min="33" max="33" width="14.77734375" style="3" customWidth="1"/>
    <col min="34" max="34" width="8.33203125" style="3" customWidth="1"/>
    <col min="35" max="35" width="13.5546875" style="3" customWidth="1"/>
    <col min="36" max="36" width="13.88671875" style="3" customWidth="1"/>
    <col min="37" max="37" width="8.6640625" style="3" customWidth="1"/>
    <col min="38" max="38" width="13.33203125" style="3" customWidth="1"/>
    <col min="39" max="39" width="12.88671875" style="3" customWidth="1"/>
    <col min="40" max="40" width="8.77734375" style="3" customWidth="1"/>
    <col min="41" max="43" width="16.77734375" style="3" hidden="1" customWidth="1"/>
    <col min="44" max="44" width="13.33203125" style="3" customWidth="1"/>
    <col min="45" max="45" width="14.77734375" style="3" customWidth="1"/>
    <col min="46" max="46" width="8.109375" style="3" customWidth="1"/>
    <col min="47" max="47" width="14.44140625" style="3" customWidth="1"/>
    <col min="48" max="48" width="15" style="3" customWidth="1"/>
    <col min="49" max="49" width="8.6640625" style="3" customWidth="1"/>
    <col min="50" max="50" width="14.77734375" style="3" customWidth="1"/>
    <col min="51" max="51" width="13.77734375" style="3" customWidth="1"/>
    <col min="52" max="52" width="8.5546875" style="3" customWidth="1"/>
    <col min="53" max="53" width="13.109375" style="3" customWidth="1"/>
    <col min="54" max="54" width="12.5546875" style="3" customWidth="1"/>
    <col min="55" max="55" width="9.21875" style="3" customWidth="1"/>
    <col min="56" max="56" width="14.77734375" style="3" customWidth="1"/>
    <col min="57" max="57" width="14.109375" style="3" customWidth="1"/>
    <col min="58" max="58" width="8.109375" style="3" customWidth="1"/>
    <col min="59" max="61" width="16.77734375" style="3" hidden="1" customWidth="1"/>
    <col min="62" max="62" width="13.88671875" style="3" customWidth="1"/>
    <col min="63" max="63" width="14.77734375" style="3" customWidth="1"/>
    <col min="64" max="64" width="8.21875" style="3" customWidth="1"/>
    <col min="65" max="66" width="16.44140625" style="3" customWidth="1"/>
    <col min="67" max="67" width="8.77734375" style="3" customWidth="1"/>
    <col min="68" max="72" width="16.77734375" style="3" hidden="1" customWidth="1"/>
    <col min="73" max="73" width="9.88671875" style="3" hidden="1" customWidth="1"/>
    <col min="74" max="74" width="13.33203125" style="3" hidden="1" customWidth="1"/>
    <col min="75" max="75" width="13.5546875" style="3" hidden="1" customWidth="1"/>
    <col min="76" max="76" width="9.21875" style="3" hidden="1" customWidth="1"/>
    <col min="77" max="77" width="11.77734375" style="3" hidden="1" customWidth="1"/>
    <col min="78" max="78" width="11.44140625" style="3" hidden="1" customWidth="1"/>
    <col min="79" max="79" width="9.88671875" style="3" hidden="1" customWidth="1"/>
    <col min="80" max="80" width="12.77734375" style="3" hidden="1" customWidth="1"/>
    <col min="81" max="81" width="13.21875" style="3" hidden="1" customWidth="1"/>
    <col min="82" max="82" width="9.88671875" style="3" hidden="1" customWidth="1"/>
    <col min="83" max="83" width="11.88671875" style="3" hidden="1" customWidth="1"/>
    <col min="84" max="84" width="13.109375" style="3" hidden="1" customWidth="1"/>
    <col min="85" max="85" width="9.109375" style="3" hidden="1" customWidth="1"/>
    <col min="86" max="86" width="12.5546875" style="3" hidden="1" customWidth="1"/>
    <col min="87" max="87" width="13.109375" style="3" hidden="1" customWidth="1"/>
    <col min="88" max="88" width="10.109375" style="3" hidden="1" customWidth="1"/>
    <col min="89" max="89" width="13.109375" style="3" hidden="1" customWidth="1"/>
    <col min="90" max="90" width="12.6640625" style="3" hidden="1" customWidth="1"/>
    <col min="91" max="91" width="10.33203125" style="3" hidden="1" customWidth="1"/>
    <col min="92" max="92" width="13.5546875" style="3" hidden="1" customWidth="1"/>
    <col min="93" max="93" width="12.33203125" style="3" hidden="1" customWidth="1"/>
    <col min="94" max="94" width="8.44140625" style="3" hidden="1" customWidth="1"/>
    <col min="95" max="95" width="12.6640625" style="3" hidden="1" customWidth="1"/>
    <col min="96" max="96" width="13.5546875" style="3" hidden="1" customWidth="1"/>
    <col min="97" max="97" width="8.5546875" style="3" hidden="1" customWidth="1"/>
    <col min="98" max="98" width="12.6640625" style="3" hidden="1" customWidth="1"/>
    <col min="99" max="99" width="13.33203125" style="3" hidden="1" customWidth="1"/>
    <col min="100" max="100" width="9.6640625" style="3" hidden="1" customWidth="1"/>
    <col min="101" max="101" width="12.88671875" style="3" hidden="1" customWidth="1"/>
    <col min="102" max="102" width="12.6640625" style="3" hidden="1" customWidth="1"/>
    <col min="103" max="103" width="9.21875" style="3" hidden="1" customWidth="1"/>
    <col min="104" max="104" width="12.109375" style="3" customWidth="1"/>
    <col min="105" max="105" width="13.21875" style="3" customWidth="1"/>
    <col min="106" max="106" width="8" style="3" customWidth="1"/>
    <col min="107" max="109" width="16.77734375" style="3" hidden="1" customWidth="1"/>
    <col min="110" max="110" width="12.33203125" style="3" customWidth="1"/>
    <col min="111" max="111" width="13.77734375" style="3" customWidth="1"/>
    <col min="112" max="112" width="8.77734375" style="3" customWidth="1"/>
    <col min="113" max="113" width="13.21875" customWidth="1"/>
    <col min="114" max="114" width="14.21875" customWidth="1"/>
    <col min="115" max="115" width="8.33203125" customWidth="1"/>
    <col min="116" max="116" width="13.77734375" customWidth="1"/>
    <col min="117" max="117" width="14.77734375" customWidth="1"/>
    <col min="118" max="118" width="8.5546875" customWidth="1"/>
    <col min="119" max="119" width="13.6640625" style="2" customWidth="1"/>
    <col min="120" max="120" width="12.6640625" style="2" customWidth="1"/>
    <col min="121" max="121" width="8.109375" style="2" customWidth="1"/>
    <col min="122" max="122" width="13.33203125" hidden="1" customWidth="1"/>
    <col min="123" max="123" width="12.109375" hidden="1" customWidth="1"/>
    <col min="124" max="124" width="7.88671875" hidden="1" customWidth="1"/>
    <col min="125" max="125" width="14.109375" customWidth="1"/>
    <col min="126" max="126" width="13.88671875" customWidth="1"/>
    <col min="129" max="129" width="14.21875" customWidth="1"/>
  </cols>
  <sheetData>
    <row r="1" spans="1:127" s="2" customFormat="1" ht="38.4" customHeight="1" x14ac:dyDescent="0.25">
      <c r="B1" s="3"/>
      <c r="C1" s="3"/>
      <c r="D1" s="3"/>
      <c r="E1" s="3"/>
      <c r="F1" s="3"/>
      <c r="G1" s="3"/>
      <c r="H1" s="3"/>
      <c r="I1" s="32" t="s">
        <v>76</v>
      </c>
      <c r="J1" s="32"/>
      <c r="K1" s="32"/>
      <c r="L1" s="32"/>
      <c r="M1" s="3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</row>
    <row r="2" spans="1:127" s="2" customFormat="1" ht="28.8" customHeight="1" x14ac:dyDescent="0.25">
      <c r="A2" s="11"/>
      <c r="B2" s="30" t="s">
        <v>75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</row>
    <row r="3" spans="1:127" s="1" customFormat="1" ht="104.4" customHeight="1" x14ac:dyDescent="0.25">
      <c r="A3" s="29"/>
      <c r="B3" s="29" t="s">
        <v>36</v>
      </c>
      <c r="C3" s="29" t="s">
        <v>32</v>
      </c>
      <c r="D3" s="29" t="s">
        <v>33</v>
      </c>
      <c r="E3" s="29" t="s">
        <v>37</v>
      </c>
      <c r="F3" s="29"/>
      <c r="G3" s="29"/>
      <c r="H3" s="29" t="s">
        <v>38</v>
      </c>
      <c r="I3" s="29"/>
      <c r="J3" s="29"/>
      <c r="K3" s="29" t="s">
        <v>54</v>
      </c>
      <c r="L3" s="29"/>
      <c r="M3" s="29"/>
      <c r="N3" s="29" t="s">
        <v>56</v>
      </c>
      <c r="O3" s="29"/>
      <c r="P3" s="29"/>
      <c r="Q3" s="29" t="s">
        <v>0</v>
      </c>
      <c r="R3" s="29"/>
      <c r="S3" s="29"/>
      <c r="T3" s="29" t="s">
        <v>39</v>
      </c>
      <c r="U3" s="29"/>
      <c r="V3" s="29"/>
      <c r="W3" s="29" t="s">
        <v>1</v>
      </c>
      <c r="X3" s="29"/>
      <c r="Y3" s="29"/>
      <c r="Z3" s="29" t="s">
        <v>40</v>
      </c>
      <c r="AA3" s="29"/>
      <c r="AB3" s="29"/>
      <c r="AC3" s="29" t="s">
        <v>2</v>
      </c>
      <c r="AD3" s="29"/>
      <c r="AE3" s="29"/>
      <c r="AF3" s="29" t="s">
        <v>41</v>
      </c>
      <c r="AG3" s="29"/>
      <c r="AH3" s="29"/>
      <c r="AI3" s="29" t="s">
        <v>42</v>
      </c>
      <c r="AJ3" s="29"/>
      <c r="AK3" s="29"/>
      <c r="AL3" s="29" t="s">
        <v>43</v>
      </c>
      <c r="AM3" s="29"/>
      <c r="AN3" s="29"/>
      <c r="AO3" s="29" t="s">
        <v>3</v>
      </c>
      <c r="AP3" s="29"/>
      <c r="AQ3" s="29"/>
      <c r="AR3" s="29" t="s">
        <v>55</v>
      </c>
      <c r="AS3" s="29"/>
      <c r="AT3" s="29"/>
      <c r="AU3" s="29" t="s">
        <v>44</v>
      </c>
      <c r="AV3" s="29"/>
      <c r="AW3" s="29"/>
      <c r="AX3" s="29" t="s">
        <v>57</v>
      </c>
      <c r="AY3" s="29"/>
      <c r="AZ3" s="29"/>
      <c r="BA3" s="29" t="s">
        <v>45</v>
      </c>
      <c r="BB3" s="29"/>
      <c r="BC3" s="29"/>
      <c r="BD3" s="29" t="s">
        <v>46</v>
      </c>
      <c r="BE3" s="29"/>
      <c r="BF3" s="29"/>
      <c r="BG3" s="29" t="s">
        <v>4</v>
      </c>
      <c r="BH3" s="29"/>
      <c r="BI3" s="29"/>
      <c r="BJ3" s="29" t="s">
        <v>47</v>
      </c>
      <c r="BK3" s="29"/>
      <c r="BL3" s="29"/>
      <c r="BM3" s="29" t="s">
        <v>48</v>
      </c>
      <c r="BN3" s="29"/>
      <c r="BO3" s="29"/>
      <c r="BP3" s="29" t="s">
        <v>63</v>
      </c>
      <c r="BQ3" s="29"/>
      <c r="BR3" s="29"/>
      <c r="BS3" s="26">
        <v>63500</v>
      </c>
      <c r="BT3" s="27"/>
      <c r="BU3" s="28"/>
      <c r="BV3" s="26" t="s">
        <v>61</v>
      </c>
      <c r="BW3" s="27"/>
      <c r="BX3" s="28"/>
      <c r="BY3" s="26" t="s">
        <v>62</v>
      </c>
      <c r="BZ3" s="27"/>
      <c r="CA3" s="28"/>
      <c r="CB3" s="26" t="s">
        <v>59</v>
      </c>
      <c r="CC3" s="27"/>
      <c r="CD3" s="28"/>
      <c r="CE3" s="26" t="s">
        <v>66</v>
      </c>
      <c r="CF3" s="27"/>
      <c r="CG3" s="28"/>
      <c r="CH3" s="26" t="s">
        <v>64</v>
      </c>
      <c r="CI3" s="27"/>
      <c r="CJ3" s="28"/>
      <c r="CK3" s="26" t="s">
        <v>65</v>
      </c>
      <c r="CL3" s="27"/>
      <c r="CM3" s="28"/>
      <c r="CN3" s="26" t="s">
        <v>60</v>
      </c>
      <c r="CO3" s="27"/>
      <c r="CP3" s="28"/>
      <c r="CQ3" s="26" t="s">
        <v>67</v>
      </c>
      <c r="CR3" s="27"/>
      <c r="CS3" s="28"/>
      <c r="CT3" s="22"/>
      <c r="CU3" s="22" t="s">
        <v>70</v>
      </c>
      <c r="CV3" s="22"/>
      <c r="CW3" s="26" t="s">
        <v>68</v>
      </c>
      <c r="CX3" s="27"/>
      <c r="CY3" s="28"/>
      <c r="CZ3" s="29" t="s">
        <v>49</v>
      </c>
      <c r="DA3" s="29"/>
      <c r="DB3" s="29"/>
      <c r="DC3" s="29" t="s">
        <v>5</v>
      </c>
      <c r="DD3" s="29"/>
      <c r="DE3" s="29"/>
      <c r="DF3" s="29" t="s">
        <v>50</v>
      </c>
      <c r="DG3" s="29"/>
      <c r="DH3" s="29"/>
      <c r="DI3" s="29" t="s">
        <v>51</v>
      </c>
      <c r="DJ3" s="29"/>
      <c r="DK3" s="29"/>
      <c r="DL3" s="29" t="s">
        <v>58</v>
      </c>
      <c r="DM3" s="29"/>
      <c r="DN3" s="29"/>
      <c r="DO3" s="29" t="s">
        <v>52</v>
      </c>
      <c r="DP3" s="29"/>
      <c r="DQ3" s="29"/>
      <c r="DR3" s="29" t="s">
        <v>28</v>
      </c>
      <c r="DS3" s="29"/>
      <c r="DT3" s="29"/>
      <c r="DU3" s="29" t="s">
        <v>53</v>
      </c>
      <c r="DV3" s="29"/>
      <c r="DW3" s="29"/>
    </row>
    <row r="4" spans="1:127" s="1" customFormat="1" ht="43.8" customHeight="1" x14ac:dyDescent="0.25">
      <c r="A4" s="29"/>
      <c r="B4" s="29"/>
      <c r="C4" s="29"/>
      <c r="D4" s="29"/>
      <c r="E4" s="14" t="s">
        <v>30</v>
      </c>
      <c r="F4" s="14" t="s">
        <v>29</v>
      </c>
      <c r="G4" s="23" t="s">
        <v>33</v>
      </c>
      <c r="H4" s="14" t="s">
        <v>30</v>
      </c>
      <c r="I4" s="14" t="s">
        <v>29</v>
      </c>
      <c r="J4" s="23" t="s">
        <v>33</v>
      </c>
      <c r="K4" s="14" t="s">
        <v>30</v>
      </c>
      <c r="L4" s="14" t="s">
        <v>29</v>
      </c>
      <c r="M4" s="23" t="s">
        <v>33</v>
      </c>
      <c r="N4" s="14" t="s">
        <v>30</v>
      </c>
      <c r="O4" s="14" t="s">
        <v>29</v>
      </c>
      <c r="P4" s="23" t="s">
        <v>33</v>
      </c>
      <c r="Q4" s="14" t="s">
        <v>25</v>
      </c>
      <c r="R4" s="14" t="s">
        <v>27</v>
      </c>
      <c r="S4" s="15" t="s">
        <v>24</v>
      </c>
      <c r="T4" s="14" t="s">
        <v>30</v>
      </c>
      <c r="U4" s="14" t="s">
        <v>29</v>
      </c>
      <c r="V4" s="23" t="s">
        <v>33</v>
      </c>
      <c r="W4" s="14" t="s">
        <v>25</v>
      </c>
      <c r="X4" s="14" t="s">
        <v>27</v>
      </c>
      <c r="Y4" s="15" t="s">
        <v>24</v>
      </c>
      <c r="Z4" s="14" t="s">
        <v>30</v>
      </c>
      <c r="AA4" s="14" t="s">
        <v>29</v>
      </c>
      <c r="AB4" s="23" t="s">
        <v>33</v>
      </c>
      <c r="AC4" s="14" t="s">
        <v>25</v>
      </c>
      <c r="AD4" s="14" t="s">
        <v>27</v>
      </c>
      <c r="AE4" s="15" t="s">
        <v>24</v>
      </c>
      <c r="AF4" s="14" t="s">
        <v>30</v>
      </c>
      <c r="AG4" s="14" t="s">
        <v>29</v>
      </c>
      <c r="AH4" s="23" t="s">
        <v>33</v>
      </c>
      <c r="AI4" s="14" t="s">
        <v>30</v>
      </c>
      <c r="AJ4" s="14" t="s">
        <v>29</v>
      </c>
      <c r="AK4" s="23" t="s">
        <v>33</v>
      </c>
      <c r="AL4" s="14" t="s">
        <v>30</v>
      </c>
      <c r="AM4" s="14" t="s">
        <v>29</v>
      </c>
      <c r="AN4" s="23" t="s">
        <v>33</v>
      </c>
      <c r="AO4" s="14" t="s">
        <v>25</v>
      </c>
      <c r="AP4" s="14" t="s">
        <v>26</v>
      </c>
      <c r="AQ4" s="15" t="s">
        <v>24</v>
      </c>
      <c r="AR4" s="14" t="s">
        <v>30</v>
      </c>
      <c r="AS4" s="14" t="s">
        <v>29</v>
      </c>
      <c r="AT4" s="23" t="s">
        <v>33</v>
      </c>
      <c r="AU4" s="14" t="s">
        <v>30</v>
      </c>
      <c r="AV4" s="14" t="s">
        <v>29</v>
      </c>
      <c r="AW4" s="23" t="s">
        <v>33</v>
      </c>
      <c r="AX4" s="14" t="s">
        <v>30</v>
      </c>
      <c r="AY4" s="14" t="s">
        <v>29</v>
      </c>
      <c r="AZ4" s="23" t="s">
        <v>33</v>
      </c>
      <c r="BA4" s="14" t="s">
        <v>30</v>
      </c>
      <c r="BB4" s="14" t="s">
        <v>29</v>
      </c>
      <c r="BC4" s="23" t="s">
        <v>33</v>
      </c>
      <c r="BD4" s="14" t="s">
        <v>30</v>
      </c>
      <c r="BE4" s="14" t="s">
        <v>29</v>
      </c>
      <c r="BF4" s="23" t="s">
        <v>33</v>
      </c>
      <c r="BG4" s="14" t="s">
        <v>30</v>
      </c>
      <c r="BH4" s="14" t="s">
        <v>29</v>
      </c>
      <c r="BI4" s="15" t="s">
        <v>31</v>
      </c>
      <c r="BJ4" s="14" t="s">
        <v>30</v>
      </c>
      <c r="BK4" s="14" t="s">
        <v>29</v>
      </c>
      <c r="BL4" s="23" t="s">
        <v>33</v>
      </c>
      <c r="BM4" s="14" t="s">
        <v>30</v>
      </c>
      <c r="BN4" s="14" t="s">
        <v>29</v>
      </c>
      <c r="BO4" s="23" t="s">
        <v>33</v>
      </c>
      <c r="BP4" s="14" t="s">
        <v>30</v>
      </c>
      <c r="BQ4" s="14" t="s">
        <v>29</v>
      </c>
      <c r="BR4" s="23" t="s">
        <v>33</v>
      </c>
      <c r="BS4" s="15"/>
      <c r="BT4" s="15"/>
      <c r="BU4" s="15"/>
      <c r="BV4" s="15"/>
      <c r="BW4" s="15"/>
      <c r="BX4" s="15"/>
      <c r="BY4" s="15"/>
      <c r="BZ4" s="15"/>
      <c r="CA4" s="15"/>
      <c r="CB4" s="15" t="s">
        <v>27</v>
      </c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4" t="s">
        <v>30</v>
      </c>
      <c r="DA4" s="14" t="s">
        <v>29</v>
      </c>
      <c r="DB4" s="23" t="s">
        <v>33</v>
      </c>
      <c r="DC4" s="14" t="s">
        <v>30</v>
      </c>
      <c r="DD4" s="14" t="s">
        <v>29</v>
      </c>
      <c r="DE4" s="15" t="s">
        <v>31</v>
      </c>
      <c r="DF4" s="14" t="s">
        <v>30</v>
      </c>
      <c r="DG4" s="14" t="s">
        <v>29</v>
      </c>
      <c r="DH4" s="23" t="s">
        <v>33</v>
      </c>
      <c r="DI4" s="14" t="s">
        <v>30</v>
      </c>
      <c r="DJ4" s="14" t="s">
        <v>29</v>
      </c>
      <c r="DK4" s="23" t="s">
        <v>33</v>
      </c>
      <c r="DL4" s="14" t="s">
        <v>30</v>
      </c>
      <c r="DM4" s="14" t="s">
        <v>29</v>
      </c>
      <c r="DN4" s="23" t="s">
        <v>33</v>
      </c>
      <c r="DO4" s="14" t="s">
        <v>30</v>
      </c>
      <c r="DP4" s="14" t="s">
        <v>29</v>
      </c>
      <c r="DQ4" s="23" t="s">
        <v>33</v>
      </c>
      <c r="DR4" s="14" t="s">
        <v>30</v>
      </c>
      <c r="DS4" s="14" t="s">
        <v>29</v>
      </c>
      <c r="DT4" s="23" t="s">
        <v>33</v>
      </c>
      <c r="DU4" s="14" t="s">
        <v>30</v>
      </c>
      <c r="DV4" s="14" t="s">
        <v>29</v>
      </c>
      <c r="DW4" s="23" t="s">
        <v>33</v>
      </c>
    </row>
    <row r="5" spans="1:127" s="2" customFormat="1" x14ac:dyDescent="0.25">
      <c r="A5" s="24" t="s">
        <v>27</v>
      </c>
      <c r="B5" s="31" t="s">
        <v>27</v>
      </c>
      <c r="C5" s="31"/>
      <c r="D5" s="31"/>
      <c r="E5" s="31">
        <v>1</v>
      </c>
      <c r="F5" s="31"/>
      <c r="G5" s="31"/>
      <c r="H5" s="31">
        <v>2</v>
      </c>
      <c r="I5" s="31"/>
      <c r="J5" s="31"/>
      <c r="K5" s="31">
        <v>3</v>
      </c>
      <c r="L5" s="31"/>
      <c r="M5" s="31"/>
      <c r="N5" s="31">
        <v>4</v>
      </c>
      <c r="O5" s="31"/>
      <c r="P5" s="31"/>
      <c r="Q5" s="31">
        <v>5</v>
      </c>
      <c r="R5" s="31"/>
      <c r="S5" s="31"/>
      <c r="T5" s="31">
        <v>5</v>
      </c>
      <c r="U5" s="31"/>
      <c r="V5" s="31"/>
      <c r="W5" s="31">
        <v>7</v>
      </c>
      <c r="X5" s="31"/>
      <c r="Y5" s="31"/>
      <c r="Z5" s="31">
        <v>6</v>
      </c>
      <c r="AA5" s="31"/>
      <c r="AB5" s="31"/>
      <c r="AC5" s="31">
        <v>9</v>
      </c>
      <c r="AD5" s="31"/>
      <c r="AE5" s="31"/>
      <c r="AF5" s="31">
        <v>7</v>
      </c>
      <c r="AG5" s="31"/>
      <c r="AH5" s="31"/>
      <c r="AI5" s="31">
        <v>8</v>
      </c>
      <c r="AJ5" s="31"/>
      <c r="AK5" s="31"/>
      <c r="AL5" s="31">
        <v>9</v>
      </c>
      <c r="AM5" s="31"/>
      <c r="AN5" s="31"/>
      <c r="AO5" s="31">
        <v>13</v>
      </c>
      <c r="AP5" s="31"/>
      <c r="AQ5" s="31"/>
      <c r="AR5" s="31">
        <v>10</v>
      </c>
      <c r="AS5" s="31"/>
      <c r="AT5" s="31"/>
      <c r="AU5" s="31">
        <v>11</v>
      </c>
      <c r="AV5" s="31"/>
      <c r="AW5" s="31"/>
      <c r="AX5" s="31">
        <v>12</v>
      </c>
      <c r="AY5" s="31"/>
      <c r="AZ5" s="31"/>
      <c r="BA5" s="31">
        <v>13</v>
      </c>
      <c r="BB5" s="31"/>
      <c r="BC5" s="31"/>
      <c r="BD5" s="31">
        <v>14</v>
      </c>
      <c r="BE5" s="31"/>
      <c r="BF5" s="31"/>
      <c r="BG5" s="31">
        <v>19</v>
      </c>
      <c r="BH5" s="31"/>
      <c r="BI5" s="31"/>
      <c r="BJ5" s="31">
        <v>15</v>
      </c>
      <c r="BK5" s="31"/>
      <c r="BL5" s="31"/>
      <c r="BM5" s="31">
        <v>16</v>
      </c>
      <c r="BN5" s="31"/>
      <c r="BO5" s="31"/>
      <c r="BP5" s="31">
        <v>22</v>
      </c>
      <c r="BQ5" s="31"/>
      <c r="BR5" s="31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31">
        <v>17</v>
      </c>
      <c r="DA5" s="31"/>
      <c r="DB5" s="31"/>
      <c r="DC5" s="31">
        <v>24</v>
      </c>
      <c r="DD5" s="31"/>
      <c r="DE5" s="31"/>
      <c r="DF5" s="31">
        <v>18</v>
      </c>
      <c r="DG5" s="31"/>
      <c r="DH5" s="31"/>
      <c r="DI5" s="31">
        <v>19</v>
      </c>
      <c r="DJ5" s="31"/>
      <c r="DK5" s="31"/>
      <c r="DL5" s="31">
        <v>20</v>
      </c>
      <c r="DM5" s="31"/>
      <c r="DN5" s="31"/>
      <c r="DO5" s="31">
        <v>21</v>
      </c>
      <c r="DP5" s="31"/>
      <c r="DQ5" s="31"/>
      <c r="DR5" s="31">
        <v>22</v>
      </c>
      <c r="DS5" s="31"/>
      <c r="DT5" s="31"/>
      <c r="DU5" s="31">
        <v>22</v>
      </c>
      <c r="DV5" s="31"/>
      <c r="DW5" s="31"/>
    </row>
    <row r="6" spans="1:127" s="2" customFormat="1" ht="31.2" x14ac:dyDescent="0.3">
      <c r="A6" s="12" t="s">
        <v>6</v>
      </c>
      <c r="B6" s="7">
        <f>E6+H6+K6+N6+Q6+T6+W6+Z6+AC6+AF6+AI6+AL6+AO6+AR6+AU6+AX6+BA6+BD6+BG6+BJ6+BM6+CZ6+DC6+DF6+DI6+DL6+DR6+DO6+DU6</f>
        <v>7489432.4000000004</v>
      </c>
      <c r="C6" s="7">
        <f>F6+I6+L6+O6+R6+U6+X6+AA6+AD6+AG6+AJ6+AM6+AP6+AS6+AV6+AY6+BB6+BE6+BH6+BK6+BN6+DA6+DD6+DG6+DJ6+DM6+DS6+DP6+DV6</f>
        <v>7488696.3000000007</v>
      </c>
      <c r="D6" s="7">
        <f>C6/B6*100</f>
        <v>99.990171484824401</v>
      </c>
      <c r="E6" s="25">
        <f>37132.3+13985.2</f>
        <v>51117.5</v>
      </c>
      <c r="F6" s="7">
        <f>37132.2+13985.2</f>
        <v>51117.399999999994</v>
      </c>
      <c r="G6" s="7">
        <f>F6/E6*100</f>
        <v>99.999804372279542</v>
      </c>
      <c r="H6" s="8">
        <v>3564.8</v>
      </c>
      <c r="I6" s="8">
        <v>3564.8</v>
      </c>
      <c r="J6" s="7">
        <f>I6/H6*100</f>
        <v>100</v>
      </c>
      <c r="K6" s="21">
        <f>1614981.9-15200</f>
        <v>1599781.9</v>
      </c>
      <c r="L6" s="7">
        <f>1564862.8+34919.1</f>
        <v>1599781.9000000001</v>
      </c>
      <c r="M6" s="7">
        <f>L6/K6*100</f>
        <v>100.00000000000003</v>
      </c>
      <c r="N6" s="7">
        <v>0</v>
      </c>
      <c r="O6" s="7">
        <v>0</v>
      </c>
      <c r="P6" s="7">
        <f>O6-N6</f>
        <v>0</v>
      </c>
      <c r="Q6" s="7">
        <v>0</v>
      </c>
      <c r="R6" s="7">
        <v>0</v>
      </c>
      <c r="S6" s="7">
        <f>R6-Q6</f>
        <v>0</v>
      </c>
      <c r="T6" s="21">
        <f>275232.7+20400</f>
        <v>295632.7</v>
      </c>
      <c r="U6" s="7">
        <v>295322.7</v>
      </c>
      <c r="V6" s="7">
        <f>U6/T6*100</f>
        <v>99.895140151952063</v>
      </c>
      <c r="W6" s="7">
        <v>0</v>
      </c>
      <c r="X6" s="7">
        <v>0</v>
      </c>
      <c r="Y6" s="7">
        <f>X6-W6</f>
        <v>0</v>
      </c>
      <c r="Z6" s="21">
        <v>7600</v>
      </c>
      <c r="AA6" s="7">
        <v>7542.3</v>
      </c>
      <c r="AB6" s="7">
        <f>AA6/Z6*100</f>
        <v>99.240789473684217</v>
      </c>
      <c r="AC6" s="7">
        <v>0</v>
      </c>
      <c r="AD6" s="7">
        <v>0</v>
      </c>
      <c r="AE6" s="7">
        <f>AD6-AC6</f>
        <v>0</v>
      </c>
      <c r="AF6" s="21">
        <v>28750.1</v>
      </c>
      <c r="AG6" s="21">
        <v>28750.1</v>
      </c>
      <c r="AH6" s="7">
        <f>AG6/AF6*100</f>
        <v>100</v>
      </c>
      <c r="AI6" s="21">
        <v>13984.2</v>
      </c>
      <c r="AJ6" s="7">
        <v>13984.1</v>
      </c>
      <c r="AK6" s="7">
        <f>AJ6/AI6*100</f>
        <v>99.999284907252473</v>
      </c>
      <c r="AL6" s="21">
        <v>20954.3</v>
      </c>
      <c r="AM6" s="7">
        <f>17048.9+3905.2</f>
        <v>20954.100000000002</v>
      </c>
      <c r="AN6" s="7">
        <f>AM6/AL6*100</f>
        <v>99.999045541965145</v>
      </c>
      <c r="AO6" s="7" t="s">
        <v>7</v>
      </c>
      <c r="AP6" s="7"/>
      <c r="AQ6" s="7">
        <f>AP6-AO6</f>
        <v>0</v>
      </c>
      <c r="AR6" s="21">
        <v>174511.7</v>
      </c>
      <c r="AS6" s="7">
        <v>174511.6</v>
      </c>
      <c r="AT6" s="7">
        <f>AS6/AR6*100</f>
        <v>99.999942697251811</v>
      </c>
      <c r="AU6" s="21">
        <f>2309776+60148</f>
        <v>2369924</v>
      </c>
      <c r="AV6" s="7">
        <f>(758077+0)+1611847</f>
        <v>2369924</v>
      </c>
      <c r="AW6" s="7">
        <f>AV6/AU6*100</f>
        <v>100</v>
      </c>
      <c r="AX6" s="21">
        <v>33931.699999999997</v>
      </c>
      <c r="AY6" s="21">
        <v>33931.699999999997</v>
      </c>
      <c r="AZ6" s="7">
        <f>AY6/AX6*100</f>
        <v>100</v>
      </c>
      <c r="BA6" s="7">
        <v>664673</v>
      </c>
      <c r="BB6" s="7">
        <v>664579.69999999995</v>
      </c>
      <c r="BC6" s="7">
        <f>BB6/BA6*100</f>
        <v>99.985963022418531</v>
      </c>
      <c r="BD6" s="21">
        <v>292213.8</v>
      </c>
      <c r="BE6" s="7">
        <f>286969.4+3085.1+2159.3</f>
        <v>292213.8</v>
      </c>
      <c r="BF6" s="7">
        <f>BE6/BD6*100</f>
        <v>100</v>
      </c>
      <c r="BG6" s="7" t="s">
        <v>7</v>
      </c>
      <c r="BH6" s="7" t="s">
        <v>7</v>
      </c>
      <c r="BI6" s="7">
        <f>BH6-BG6</f>
        <v>0</v>
      </c>
      <c r="BJ6" s="21">
        <v>6371.8</v>
      </c>
      <c r="BK6" s="7">
        <v>6236.5</v>
      </c>
      <c r="BL6" s="7">
        <f>BK6/BJ6*100</f>
        <v>97.876581185850156</v>
      </c>
      <c r="BM6" s="21">
        <f>1840744.8-12816.3</f>
        <v>1827928.5</v>
      </c>
      <c r="BN6" s="7">
        <v>1827928.3</v>
      </c>
      <c r="BO6" s="7">
        <f>BN6/BM6*100</f>
        <v>99.999989058653</v>
      </c>
      <c r="BP6" s="7">
        <f>BS6+BV6+BY6+CB6+CE6+CH6+CK6+CN6+CQ6+CW6+CT6</f>
        <v>1827928.4</v>
      </c>
      <c r="BQ6" s="7">
        <f>BT6+BW6+BZ6+CC6+CF6+CI6+CL6+CO6+CR6+CX6+CU6</f>
        <v>1827928.2999999998</v>
      </c>
      <c r="BR6" s="7">
        <f>BQ6/BP6*100</f>
        <v>99.999994529326202</v>
      </c>
      <c r="BS6" s="7">
        <v>1279314.2</v>
      </c>
      <c r="BT6" s="7">
        <v>1279314.2</v>
      </c>
      <c r="BU6" s="7">
        <f>BT6/BS6*100</f>
        <v>100</v>
      </c>
      <c r="BV6" s="7">
        <f>90000</f>
        <v>90000</v>
      </c>
      <c r="BW6" s="7">
        <f>90000</f>
        <v>90000</v>
      </c>
      <c r="BX6" s="7">
        <f>BW6/BV6*100</f>
        <v>100</v>
      </c>
      <c r="BY6" s="7">
        <v>42889.7</v>
      </c>
      <c r="BZ6" s="7">
        <v>42889.7</v>
      </c>
      <c r="CA6" s="7">
        <f>BZ6/BY6*100</f>
        <v>100</v>
      </c>
      <c r="CB6" s="7">
        <v>173862.8</v>
      </c>
      <c r="CC6" s="7">
        <v>173862.7</v>
      </c>
      <c r="CD6" s="7">
        <f>CC6/CB6*100</f>
        <v>99.999942483383464</v>
      </c>
      <c r="CE6" s="7">
        <v>241861.7</v>
      </c>
      <c r="CF6" s="7">
        <v>241861.7</v>
      </c>
      <c r="CG6" s="7">
        <f>CF6/CE6*100</f>
        <v>100</v>
      </c>
      <c r="CH6" s="7">
        <v>0</v>
      </c>
      <c r="CI6" s="7">
        <v>0</v>
      </c>
      <c r="CJ6" s="7" t="s">
        <v>27</v>
      </c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>
        <v>3206.7</v>
      </c>
      <c r="DA6" s="7">
        <v>3206.6</v>
      </c>
      <c r="DB6" s="7">
        <f>DA6/CZ6*100</f>
        <v>99.996881529298037</v>
      </c>
      <c r="DC6" s="7">
        <v>0</v>
      </c>
      <c r="DD6" s="7">
        <v>0</v>
      </c>
      <c r="DE6" s="7">
        <f>DD6-DC6</f>
        <v>0</v>
      </c>
      <c r="DF6" s="21">
        <f>10496.4+817.4</f>
        <v>11313.8</v>
      </c>
      <c r="DG6" s="7">
        <f>10473.9+817.5</f>
        <v>11291.4</v>
      </c>
      <c r="DH6" s="7">
        <f>DG6/DF6*100</f>
        <v>99.802011702522591</v>
      </c>
      <c r="DI6" s="9">
        <v>1553.4</v>
      </c>
      <c r="DJ6" s="9">
        <v>1553.4</v>
      </c>
      <c r="DK6" s="7">
        <f>DJ6/DI6*100</f>
        <v>100</v>
      </c>
      <c r="DL6" s="8">
        <v>67489.2</v>
      </c>
      <c r="DM6" s="8">
        <v>67489.2</v>
      </c>
      <c r="DN6" s="7">
        <f>DM6/DL6*100</f>
        <v>100</v>
      </c>
      <c r="DO6" s="8">
        <v>14929.3</v>
      </c>
      <c r="DP6" s="8">
        <v>14812.7</v>
      </c>
      <c r="DQ6" s="7">
        <f>DP6/DO6*100</f>
        <v>99.218985484918932</v>
      </c>
      <c r="DR6" s="8"/>
      <c r="DS6" s="8"/>
      <c r="DT6" s="8"/>
      <c r="DU6" s="8"/>
      <c r="DV6" s="8"/>
      <c r="DW6" s="8"/>
    </row>
    <row r="7" spans="1:127" s="2" customFormat="1" ht="31.2" customHeight="1" x14ac:dyDescent="0.3">
      <c r="A7" s="12" t="s">
        <v>71</v>
      </c>
      <c r="B7" s="7">
        <f t="shared" ref="B7:B27" si="0">E7+H7+K7+N7+Q7+T7+W7+Z7+AC7+AF7+AI7+AL7+AO7+AR7+AU7+AX7+BA7+BD7+BG7+BJ7+BM7+CZ7+DC7+DF7+DI7+DL7+DR7+DO7+DU7</f>
        <v>636425.99999999988</v>
      </c>
      <c r="C7" s="7">
        <f t="shared" ref="C7:C27" si="1">F7+I7+L7+O7+R7+U7+X7+AA7+AD7+AG7+AJ7+AM7+AP7+AS7+AV7+AY7+BB7+BE7+BH7+BK7+BN7+DA7+DD7+DG7+DJ7+DM7+DS7+DP7+DV7</f>
        <v>619542.09999999986</v>
      </c>
      <c r="D7" s="7">
        <f t="shared" ref="D7:D28" si="2">C7/B7*100</f>
        <v>97.347075700867023</v>
      </c>
      <c r="E7" s="25">
        <v>3665.1</v>
      </c>
      <c r="F7" s="7">
        <f>66.5+1138.7+2398.1</f>
        <v>3603.3</v>
      </c>
      <c r="G7" s="7">
        <f t="shared" ref="G7:G28" si="3">F7/E7*100</f>
        <v>98.313824997953674</v>
      </c>
      <c r="H7" s="8">
        <v>326.60000000000002</v>
      </c>
      <c r="I7" s="8">
        <v>326.60000000000002</v>
      </c>
      <c r="J7" s="7">
        <f t="shared" ref="J7:J28" si="4">I7/H7*100</f>
        <v>100</v>
      </c>
      <c r="K7" s="21">
        <v>26285.200000000001</v>
      </c>
      <c r="L7" s="7">
        <f>22706.8+769.8</f>
        <v>23476.6</v>
      </c>
      <c r="M7" s="7">
        <f t="shared" ref="M7:M28" si="5">L7/K7*100</f>
        <v>89.314899639340766</v>
      </c>
      <c r="N7" s="7">
        <v>0</v>
      </c>
      <c r="O7" s="7">
        <v>0</v>
      </c>
      <c r="P7" s="7">
        <f t="shared" ref="P7:P26" si="6">O7-N7</f>
        <v>0</v>
      </c>
      <c r="Q7" s="7">
        <v>0</v>
      </c>
      <c r="R7" s="7"/>
      <c r="S7" s="7">
        <f t="shared" ref="S7:S26" si="7">R7-Q7</f>
        <v>0</v>
      </c>
      <c r="T7" s="21">
        <v>51521.2</v>
      </c>
      <c r="U7" s="7">
        <v>46111.199999999997</v>
      </c>
      <c r="V7" s="7">
        <f t="shared" ref="V7:V28" si="8">U7/T7*100</f>
        <v>89.499468180088968</v>
      </c>
      <c r="W7" s="7">
        <v>0</v>
      </c>
      <c r="X7" s="7">
        <v>0</v>
      </c>
      <c r="Y7" s="7">
        <f t="shared" ref="Y7:Y27" si="9">X7-W7</f>
        <v>0</v>
      </c>
      <c r="Z7" s="21">
        <v>67221.100000000006</v>
      </c>
      <c r="AA7" s="7">
        <v>67221.100000000006</v>
      </c>
      <c r="AB7" s="7">
        <f t="shared" ref="AB7:AB9" si="10">AA7/Z7*100</f>
        <v>100</v>
      </c>
      <c r="AC7" s="7">
        <v>0</v>
      </c>
      <c r="AD7" s="7">
        <v>0</v>
      </c>
      <c r="AE7" s="7">
        <f t="shared" ref="AE7:AE27" si="11">AD7-AC7</f>
        <v>0</v>
      </c>
      <c r="AF7" s="21">
        <v>2121.1999999999998</v>
      </c>
      <c r="AG7" s="7">
        <f>1794+327.2</f>
        <v>2121.1999999999998</v>
      </c>
      <c r="AH7" s="7">
        <f t="shared" ref="AH7:AH28" si="12">AG7/AF7*100</f>
        <v>100</v>
      </c>
      <c r="AI7" s="21">
        <v>0</v>
      </c>
      <c r="AJ7" s="7">
        <v>0</v>
      </c>
      <c r="AK7" s="7">
        <v>0</v>
      </c>
      <c r="AL7" s="21">
        <v>10196.700000000001</v>
      </c>
      <c r="AM7" s="7">
        <v>10178.4</v>
      </c>
      <c r="AN7" s="7">
        <f t="shared" ref="AN7:AN28" si="13">AM7/AL7*100</f>
        <v>99.820530171526073</v>
      </c>
      <c r="AO7" s="7" t="s">
        <v>7</v>
      </c>
      <c r="AP7" s="7"/>
      <c r="AQ7" s="7">
        <f t="shared" ref="AQ7:AQ27" si="14">AP7-AO7</f>
        <v>0</v>
      </c>
      <c r="AR7" s="21">
        <v>0</v>
      </c>
      <c r="AS7" s="7">
        <v>0</v>
      </c>
      <c r="AT7" s="7">
        <v>0</v>
      </c>
      <c r="AU7" s="21">
        <f>81329.5-14076</f>
        <v>67253.5</v>
      </c>
      <c r="AV7" s="7">
        <f>67253.5+0</f>
        <v>67253.5</v>
      </c>
      <c r="AW7" s="7">
        <f t="shared" ref="AW7:AW28" si="15">AV7/AU7*100</f>
        <v>100</v>
      </c>
      <c r="AX7" s="21">
        <v>3348.8</v>
      </c>
      <c r="AY7" s="21">
        <v>3348.8</v>
      </c>
      <c r="AZ7" s="7">
        <f t="shared" ref="AZ7:AZ28" si="16">AY7/AX7*100</f>
        <v>100</v>
      </c>
      <c r="BA7" s="7" t="s">
        <v>7</v>
      </c>
      <c r="BB7" s="7">
        <v>0</v>
      </c>
      <c r="BC7" s="7">
        <f t="shared" ref="BC7:BC27" si="17">BB7-BA7</f>
        <v>0</v>
      </c>
      <c r="BD7" s="21">
        <v>44943.4</v>
      </c>
      <c r="BE7" s="7">
        <f>38013.3+6379.7</f>
        <v>44393</v>
      </c>
      <c r="BF7" s="7">
        <f t="shared" ref="BF7:BF28" si="18">BE7/BD7*100</f>
        <v>98.775348549508934</v>
      </c>
      <c r="BG7" s="7" t="s">
        <v>7</v>
      </c>
      <c r="BH7" s="7" t="s">
        <v>7</v>
      </c>
      <c r="BI7" s="7">
        <f t="shared" ref="BI7:BI27" si="19">BH7-BG7</f>
        <v>0</v>
      </c>
      <c r="BJ7" s="21">
        <v>5658.5</v>
      </c>
      <c r="BK7" s="21">
        <v>5658.5</v>
      </c>
      <c r="BL7" s="7">
        <f t="shared" ref="BL7:BL28" si="20">BK7/BJ7*100</f>
        <v>100</v>
      </c>
      <c r="BM7" s="21">
        <f>367903.7-33700.5</f>
        <v>334203.2</v>
      </c>
      <c r="BN7" s="7">
        <v>334197.7</v>
      </c>
      <c r="BO7" s="7">
        <f t="shared" ref="BO7:BO28" si="21">BN7/BM7*100</f>
        <v>99.998354294632733</v>
      </c>
      <c r="BP7" s="7">
        <f t="shared" ref="BP7:BP27" si="22">BS7+BV7+BY7+CB7+CE7+CH7+CK7+CN7+CQ7+CW7+CT7</f>
        <v>334203.2</v>
      </c>
      <c r="BQ7" s="7">
        <f t="shared" ref="BQ7:BQ27" si="23">BT7+BW7+BZ7+CC7+CF7+CI7+CL7+CO7+CR7+CX7+CU7</f>
        <v>334197.7</v>
      </c>
      <c r="BR7" s="7">
        <f t="shared" ref="BR7:BR28" si="24">BQ7/BP7*100</f>
        <v>99.998354294632733</v>
      </c>
      <c r="BS7" s="7">
        <v>334203.2</v>
      </c>
      <c r="BT7" s="7">
        <v>334197.7</v>
      </c>
      <c r="BU7" s="7">
        <f>BT7/BS7*100</f>
        <v>99.998354294632733</v>
      </c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 t="s">
        <v>27</v>
      </c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>
        <v>0</v>
      </c>
      <c r="DA7" s="7">
        <v>0</v>
      </c>
      <c r="DB7" s="7">
        <v>0</v>
      </c>
      <c r="DC7" s="7" t="s">
        <v>7</v>
      </c>
      <c r="DD7" s="7"/>
      <c r="DE7" s="7">
        <f t="shared" ref="DE7:DE27" si="25">DD7-DC7</f>
        <v>0</v>
      </c>
      <c r="DF7" s="21">
        <v>327.2</v>
      </c>
      <c r="DG7" s="21">
        <v>327.2</v>
      </c>
      <c r="DH7" s="7">
        <f t="shared" ref="DH7:DH28" si="26">DG7/DF7*100</f>
        <v>100</v>
      </c>
      <c r="DI7" s="9">
        <v>0</v>
      </c>
      <c r="DJ7" s="16">
        <v>0</v>
      </c>
      <c r="DK7" s="7">
        <v>0</v>
      </c>
      <c r="DL7" s="8">
        <v>8892.7000000000007</v>
      </c>
      <c r="DM7" s="8">
        <v>6492.3</v>
      </c>
      <c r="DN7" s="7">
        <f t="shared" ref="DN7:DN28" si="27">DM7/DL7*100</f>
        <v>73.007073217358055</v>
      </c>
      <c r="DO7" s="8">
        <v>10461.6</v>
      </c>
      <c r="DP7" s="8">
        <v>4832.7</v>
      </c>
      <c r="DQ7" s="7">
        <f>DP7/DO7*100</f>
        <v>46.194654737325067</v>
      </c>
      <c r="DR7" s="8"/>
      <c r="DS7" s="8"/>
      <c r="DT7" s="8"/>
      <c r="DU7" s="8"/>
      <c r="DV7" s="8"/>
      <c r="DW7" s="8"/>
    </row>
    <row r="8" spans="1:127" s="2" customFormat="1" ht="15.6" x14ac:dyDescent="0.3">
      <c r="A8" s="12" t="s">
        <v>72</v>
      </c>
      <c r="B8" s="7">
        <f t="shared" si="0"/>
        <v>1151471.5</v>
      </c>
      <c r="C8" s="7">
        <f t="shared" si="1"/>
        <v>1145340.2999999998</v>
      </c>
      <c r="D8" s="7">
        <f t="shared" si="2"/>
        <v>99.467533499526468</v>
      </c>
      <c r="E8" s="25">
        <v>43000.800000000003</v>
      </c>
      <c r="F8" s="7">
        <v>42978.5</v>
      </c>
      <c r="G8" s="7">
        <f t="shared" si="3"/>
        <v>99.948140499711627</v>
      </c>
      <c r="H8" s="8">
        <v>512.20000000000005</v>
      </c>
      <c r="I8" s="8">
        <v>512.20000000000005</v>
      </c>
      <c r="J8" s="7">
        <f t="shared" si="4"/>
        <v>100</v>
      </c>
      <c r="K8" s="21">
        <f>94469.3+1837.8</f>
        <v>96307.1</v>
      </c>
      <c r="L8" s="7">
        <f>90180.9+6126.2</f>
        <v>96307.099999999991</v>
      </c>
      <c r="M8" s="7">
        <f t="shared" si="5"/>
        <v>99.999999999999986</v>
      </c>
      <c r="N8" s="7">
        <v>0</v>
      </c>
      <c r="O8" s="7">
        <v>0</v>
      </c>
      <c r="P8" s="7">
        <f t="shared" si="6"/>
        <v>0</v>
      </c>
      <c r="Q8" s="7">
        <v>0</v>
      </c>
      <c r="R8" s="7"/>
      <c r="S8" s="7">
        <f t="shared" si="7"/>
        <v>0</v>
      </c>
      <c r="T8" s="21">
        <f>105630-2360</f>
        <v>103270</v>
      </c>
      <c r="U8" s="7">
        <v>102553.9</v>
      </c>
      <c r="V8" s="7">
        <f t="shared" si="8"/>
        <v>99.306574997579162</v>
      </c>
      <c r="W8" s="7">
        <v>0</v>
      </c>
      <c r="X8" s="7">
        <v>0</v>
      </c>
      <c r="Y8" s="7">
        <f t="shared" si="9"/>
        <v>0</v>
      </c>
      <c r="Z8" s="21">
        <v>3992</v>
      </c>
      <c r="AA8" s="7">
        <v>3992</v>
      </c>
      <c r="AB8" s="7">
        <f t="shared" si="10"/>
        <v>100</v>
      </c>
      <c r="AC8" s="7">
        <v>0</v>
      </c>
      <c r="AD8" s="7" t="s">
        <v>7</v>
      </c>
      <c r="AE8" s="7">
        <f t="shared" si="11"/>
        <v>0</v>
      </c>
      <c r="AF8" s="21">
        <v>13084.4</v>
      </c>
      <c r="AG8" s="7">
        <f>12757.2+327.2</f>
        <v>13084.400000000001</v>
      </c>
      <c r="AH8" s="7">
        <f t="shared" si="12"/>
        <v>100.00000000000003</v>
      </c>
      <c r="AI8" s="21">
        <v>0</v>
      </c>
      <c r="AJ8" s="7">
        <v>0</v>
      </c>
      <c r="AK8" s="7">
        <v>0</v>
      </c>
      <c r="AL8" s="21">
        <f>47972.5-11294.3</f>
        <v>36678.199999999997</v>
      </c>
      <c r="AM8" s="7">
        <f>14755.3+21922.7</f>
        <v>36678</v>
      </c>
      <c r="AN8" s="7">
        <f t="shared" si="13"/>
        <v>99.999454716970845</v>
      </c>
      <c r="AO8" s="7" t="s">
        <v>7</v>
      </c>
      <c r="AP8" s="7"/>
      <c r="AQ8" s="7">
        <f t="shared" si="14"/>
        <v>0</v>
      </c>
      <c r="AR8" s="21">
        <v>15059.1</v>
      </c>
      <c r="AS8" s="21">
        <v>15059</v>
      </c>
      <c r="AT8" s="7">
        <f t="shared" ref="AT8:AT28" si="28">AS8/AR8*100</f>
        <v>99.999335949691542</v>
      </c>
      <c r="AU8" s="21">
        <f>161286.3+9351.7</f>
        <v>170638</v>
      </c>
      <c r="AV8" s="7">
        <v>170637.9</v>
      </c>
      <c r="AW8" s="7">
        <f t="shared" si="15"/>
        <v>99.999941396406427</v>
      </c>
      <c r="AX8" s="21">
        <v>11569.9</v>
      </c>
      <c r="AY8" s="21">
        <v>11569.9</v>
      </c>
      <c r="AZ8" s="7">
        <f t="shared" si="16"/>
        <v>100</v>
      </c>
      <c r="BA8" s="7" t="s">
        <v>7</v>
      </c>
      <c r="BB8" s="7">
        <v>0</v>
      </c>
      <c r="BC8" s="7">
        <f t="shared" si="17"/>
        <v>0</v>
      </c>
      <c r="BD8" s="21">
        <v>38051.699999999997</v>
      </c>
      <c r="BE8" s="7">
        <f>3911.7+29941.1+4198.9</f>
        <v>38051.699999999997</v>
      </c>
      <c r="BF8" s="7">
        <f t="shared" si="18"/>
        <v>100</v>
      </c>
      <c r="BG8" s="7" t="s">
        <v>7</v>
      </c>
      <c r="BH8" s="7" t="s">
        <v>7</v>
      </c>
      <c r="BI8" s="7">
        <f t="shared" si="19"/>
        <v>0</v>
      </c>
      <c r="BJ8" s="21">
        <v>10853.3</v>
      </c>
      <c r="BK8" s="21">
        <v>10853.3</v>
      </c>
      <c r="BL8" s="7">
        <f t="shared" si="20"/>
        <v>100</v>
      </c>
      <c r="BM8" s="21">
        <f>642243.7-62000</f>
        <v>580243.69999999995</v>
      </c>
      <c r="BN8" s="7">
        <v>574917.5</v>
      </c>
      <c r="BO8" s="7">
        <f t="shared" si="21"/>
        <v>99.082075341791736</v>
      </c>
      <c r="BP8" s="7">
        <f t="shared" si="22"/>
        <v>580243.69999999995</v>
      </c>
      <c r="BQ8" s="7">
        <f t="shared" si="23"/>
        <v>574917.5</v>
      </c>
      <c r="BR8" s="7">
        <f t="shared" si="24"/>
        <v>99.082075341791736</v>
      </c>
      <c r="BS8" s="7">
        <v>580243.69999999995</v>
      </c>
      <c r="BT8" s="7">
        <v>574917.5</v>
      </c>
      <c r="BU8" s="7">
        <f>BT8/BS8*100</f>
        <v>99.082075341791736</v>
      </c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 t="s">
        <v>27</v>
      </c>
      <c r="CK8" s="7"/>
      <c r="CL8" s="7"/>
      <c r="CM8" s="7"/>
      <c r="CN8" s="7"/>
      <c r="CO8" s="7"/>
      <c r="CP8" s="7"/>
      <c r="CQ8" s="7">
        <v>0</v>
      </c>
      <c r="CR8" s="7">
        <v>0</v>
      </c>
      <c r="CS8" s="7"/>
      <c r="CT8" s="7"/>
      <c r="CU8" s="7"/>
      <c r="CV8" s="7"/>
      <c r="CW8" s="7"/>
      <c r="CX8" s="7"/>
      <c r="CY8" s="7"/>
      <c r="CZ8" s="7">
        <v>0</v>
      </c>
      <c r="DA8" s="7">
        <v>0</v>
      </c>
      <c r="DB8" s="7">
        <v>0</v>
      </c>
      <c r="DC8" s="7" t="s">
        <v>7</v>
      </c>
      <c r="DD8" s="7"/>
      <c r="DE8" s="7">
        <f t="shared" si="25"/>
        <v>0</v>
      </c>
      <c r="DF8" s="21">
        <f>1214.7-26.7</f>
        <v>1188</v>
      </c>
      <c r="DG8" s="7">
        <f>432.5+736.9</f>
        <v>1169.4000000000001</v>
      </c>
      <c r="DH8" s="7">
        <f t="shared" si="26"/>
        <v>98.434343434343447</v>
      </c>
      <c r="DI8" s="9">
        <v>0</v>
      </c>
      <c r="DJ8" s="16">
        <v>0</v>
      </c>
      <c r="DK8" s="7">
        <v>0</v>
      </c>
      <c r="DL8" s="8">
        <v>21605.8</v>
      </c>
      <c r="DM8" s="8">
        <v>21558.2</v>
      </c>
      <c r="DN8" s="7">
        <f t="shared" si="27"/>
        <v>99.779688787270089</v>
      </c>
      <c r="DO8" s="8">
        <v>2694.3</v>
      </c>
      <c r="DP8" s="8">
        <v>2694.3</v>
      </c>
      <c r="DQ8" s="7">
        <f t="shared" ref="DQ8:DQ28" si="29">DP8/DO8*100</f>
        <v>100</v>
      </c>
      <c r="DR8" s="8"/>
      <c r="DS8" s="8"/>
      <c r="DT8" s="8"/>
      <c r="DU8" s="8">
        <v>2723</v>
      </c>
      <c r="DV8" s="8">
        <v>2723</v>
      </c>
      <c r="DW8" s="7">
        <f t="shared" ref="DW8" si="30">DV8/DU8*100</f>
        <v>100</v>
      </c>
    </row>
    <row r="9" spans="1:127" s="2" customFormat="1" ht="15.6" x14ac:dyDescent="0.3">
      <c r="A9" s="12" t="s">
        <v>73</v>
      </c>
      <c r="B9" s="7">
        <f t="shared" si="0"/>
        <v>2707879.7999999993</v>
      </c>
      <c r="C9" s="7">
        <f t="shared" si="1"/>
        <v>2705891.7999999993</v>
      </c>
      <c r="D9" s="7">
        <f t="shared" si="2"/>
        <v>99.926584629051845</v>
      </c>
      <c r="E9" s="25">
        <v>24423.1</v>
      </c>
      <c r="F9" s="7">
        <v>24405.5</v>
      </c>
      <c r="G9" s="7">
        <f t="shared" si="3"/>
        <v>99.927937075964977</v>
      </c>
      <c r="H9" s="8">
        <v>671.2</v>
      </c>
      <c r="I9" s="8">
        <v>671.2</v>
      </c>
      <c r="J9" s="7">
        <f t="shared" si="4"/>
        <v>100</v>
      </c>
      <c r="K9" s="21">
        <v>80806</v>
      </c>
      <c r="L9" s="7">
        <f>62427.6+18378.4</f>
        <v>80806</v>
      </c>
      <c r="M9" s="7">
        <f t="shared" si="5"/>
        <v>100</v>
      </c>
      <c r="N9" s="7">
        <v>0</v>
      </c>
      <c r="O9" s="7">
        <v>0</v>
      </c>
      <c r="P9" s="7">
        <f t="shared" si="6"/>
        <v>0</v>
      </c>
      <c r="Q9" s="7">
        <v>0</v>
      </c>
      <c r="R9" s="7"/>
      <c r="S9" s="7">
        <f t="shared" si="7"/>
        <v>0</v>
      </c>
      <c r="T9" s="21">
        <v>323228.3</v>
      </c>
      <c r="U9" s="7">
        <v>323223.59999999998</v>
      </c>
      <c r="V9" s="7">
        <f t="shared" si="8"/>
        <v>99.998545919401238</v>
      </c>
      <c r="W9" s="7">
        <v>0</v>
      </c>
      <c r="X9" s="7">
        <v>0</v>
      </c>
      <c r="Y9" s="7">
        <f t="shared" si="9"/>
        <v>0</v>
      </c>
      <c r="Z9" s="21">
        <v>3500</v>
      </c>
      <c r="AA9" s="7">
        <v>3494</v>
      </c>
      <c r="AB9" s="7">
        <f t="shared" si="10"/>
        <v>99.828571428571436</v>
      </c>
      <c r="AC9" s="7">
        <v>0</v>
      </c>
      <c r="AD9" s="7">
        <v>0</v>
      </c>
      <c r="AE9" s="7">
        <f t="shared" si="11"/>
        <v>0</v>
      </c>
      <c r="AF9" s="21">
        <v>27227.200000000001</v>
      </c>
      <c r="AG9" s="7">
        <f>26900+327.2</f>
        <v>27227.200000000001</v>
      </c>
      <c r="AH9" s="7">
        <f t="shared" si="12"/>
        <v>100</v>
      </c>
      <c r="AI9" s="21">
        <v>0</v>
      </c>
      <c r="AJ9" s="7">
        <v>0</v>
      </c>
      <c r="AK9" s="7">
        <v>0</v>
      </c>
      <c r="AL9" s="21">
        <v>5477.5</v>
      </c>
      <c r="AM9" s="21">
        <v>5477.5</v>
      </c>
      <c r="AN9" s="7">
        <f t="shared" si="13"/>
        <v>100</v>
      </c>
      <c r="AO9" s="7" t="s">
        <v>7</v>
      </c>
      <c r="AP9" s="7"/>
      <c r="AQ9" s="7">
        <f t="shared" si="14"/>
        <v>0</v>
      </c>
      <c r="AR9" s="21">
        <f>12466.5+7103.3</f>
        <v>19569.8</v>
      </c>
      <c r="AS9" s="7">
        <v>17684.3</v>
      </c>
      <c r="AT9" s="7">
        <f t="shared" si="28"/>
        <v>90.365256670993048</v>
      </c>
      <c r="AU9" s="21">
        <v>46016.7</v>
      </c>
      <c r="AV9" s="21">
        <v>46016.7</v>
      </c>
      <c r="AW9" s="7">
        <f t="shared" si="15"/>
        <v>100</v>
      </c>
      <c r="AX9" s="21">
        <v>23345.5</v>
      </c>
      <c r="AY9" s="21">
        <v>23345.5</v>
      </c>
      <c r="AZ9" s="7">
        <f t="shared" si="16"/>
        <v>100</v>
      </c>
      <c r="BA9" s="7" t="s">
        <v>7</v>
      </c>
      <c r="BB9" s="7">
        <v>0</v>
      </c>
      <c r="BC9" s="7">
        <f t="shared" si="17"/>
        <v>0</v>
      </c>
      <c r="BD9" s="21">
        <f>73921+3389.8</f>
        <v>77310.8</v>
      </c>
      <c r="BE9" s="7">
        <f>11825.4+42043.7+23367.8</f>
        <v>77236.899999999994</v>
      </c>
      <c r="BF9" s="7">
        <f t="shared" si="18"/>
        <v>99.904411802749422</v>
      </c>
      <c r="BG9" s="7" t="s">
        <v>7</v>
      </c>
      <c r="BH9" s="7" t="s">
        <v>7</v>
      </c>
      <c r="BI9" s="7">
        <f t="shared" si="19"/>
        <v>0</v>
      </c>
      <c r="BJ9" s="21">
        <v>11326.4</v>
      </c>
      <c r="BK9" s="21">
        <v>11326.4</v>
      </c>
      <c r="BL9" s="7">
        <f t="shared" si="20"/>
        <v>100</v>
      </c>
      <c r="BM9" s="21">
        <v>2028111.3</v>
      </c>
      <c r="BN9" s="7">
        <v>2028111.2</v>
      </c>
      <c r="BO9" s="7">
        <f t="shared" si="21"/>
        <v>99.99999506930412</v>
      </c>
      <c r="BP9" s="7">
        <f t="shared" si="22"/>
        <v>2028111.3</v>
      </c>
      <c r="BQ9" s="7">
        <f t="shared" si="23"/>
        <v>2028111.2</v>
      </c>
      <c r="BR9" s="7">
        <f t="shared" si="24"/>
        <v>99.99999506930412</v>
      </c>
      <c r="BS9" s="7">
        <v>2028111.3</v>
      </c>
      <c r="BT9" s="7">
        <v>2028111.2</v>
      </c>
      <c r="BU9" s="7">
        <f>BT9/BS9*100</f>
        <v>99.99999506930412</v>
      </c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 t="s">
        <v>27</v>
      </c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>
        <v>374.4</v>
      </c>
      <c r="DA9" s="7">
        <v>374.4</v>
      </c>
      <c r="DB9" s="7">
        <f t="shared" ref="DB9:DB28" si="31">DA9/CZ9*100</f>
        <v>100</v>
      </c>
      <c r="DC9" s="7" t="s">
        <v>7</v>
      </c>
      <c r="DD9" s="7">
        <v>0</v>
      </c>
      <c r="DE9" s="7">
        <f t="shared" si="25"/>
        <v>0</v>
      </c>
      <c r="DF9" s="21">
        <f>6797.6-864.7</f>
        <v>5932.9000000000005</v>
      </c>
      <c r="DG9" s="7">
        <v>5932.9</v>
      </c>
      <c r="DH9" s="7">
        <f t="shared" si="26"/>
        <v>99.999999999999986</v>
      </c>
      <c r="DI9" s="9">
        <v>340.9</v>
      </c>
      <c r="DJ9" s="9">
        <v>340.9</v>
      </c>
      <c r="DK9" s="7">
        <f>DJ9/DI9*100</f>
        <v>100</v>
      </c>
      <c r="DL9" s="8">
        <v>27478.9</v>
      </c>
      <c r="DM9" s="8">
        <v>27478.799999999999</v>
      </c>
      <c r="DN9" s="7">
        <f t="shared" si="27"/>
        <v>99.999636084413851</v>
      </c>
      <c r="DO9" s="8">
        <v>2738.9</v>
      </c>
      <c r="DP9" s="8">
        <v>2738.8</v>
      </c>
      <c r="DQ9" s="7">
        <f t="shared" si="29"/>
        <v>99.996348899193109</v>
      </c>
      <c r="DR9" s="8"/>
      <c r="DS9" s="8"/>
      <c r="DT9" s="8"/>
      <c r="DU9" s="8">
        <v>0</v>
      </c>
      <c r="DV9" s="8"/>
      <c r="DW9" s="8"/>
    </row>
    <row r="10" spans="1:127" s="2" customFormat="1" ht="18.600000000000001" customHeight="1" x14ac:dyDescent="0.3">
      <c r="A10" s="12" t="s">
        <v>34</v>
      </c>
      <c r="B10" s="7">
        <f t="shared" si="0"/>
        <v>714342.39999999991</v>
      </c>
      <c r="C10" s="7">
        <f t="shared" si="1"/>
        <v>713154.39999999979</v>
      </c>
      <c r="D10" s="7">
        <f t="shared" si="2"/>
        <v>99.833693198107781</v>
      </c>
      <c r="E10" s="25">
        <v>29172.6</v>
      </c>
      <c r="F10" s="7">
        <v>29166.5</v>
      </c>
      <c r="G10" s="7">
        <f t="shared" si="3"/>
        <v>99.979089967983654</v>
      </c>
      <c r="H10" s="8">
        <v>474.7</v>
      </c>
      <c r="I10" s="8">
        <v>474.7</v>
      </c>
      <c r="J10" s="7">
        <f t="shared" si="4"/>
        <v>100</v>
      </c>
      <c r="K10" s="21">
        <v>66066.100000000006</v>
      </c>
      <c r="L10" s="7">
        <f>63589.9+2475.9</f>
        <v>66065.8</v>
      </c>
      <c r="M10" s="7">
        <f t="shared" si="5"/>
        <v>99.999545909324141</v>
      </c>
      <c r="N10" s="7">
        <v>0</v>
      </c>
      <c r="O10" s="7">
        <v>0</v>
      </c>
      <c r="P10" s="7">
        <f t="shared" si="6"/>
        <v>0</v>
      </c>
      <c r="Q10" s="7">
        <v>0</v>
      </c>
      <c r="R10" s="7"/>
      <c r="S10" s="7">
        <f t="shared" si="7"/>
        <v>0</v>
      </c>
      <c r="T10" s="21">
        <v>97779.199999999997</v>
      </c>
      <c r="U10" s="7">
        <v>97704.6</v>
      </c>
      <c r="V10" s="7">
        <f t="shared" si="8"/>
        <v>99.923705655190474</v>
      </c>
      <c r="W10" s="7">
        <v>0</v>
      </c>
      <c r="X10" s="7">
        <v>0</v>
      </c>
      <c r="Y10" s="7">
        <f t="shared" si="9"/>
        <v>0</v>
      </c>
      <c r="Z10" s="21">
        <v>0</v>
      </c>
      <c r="AA10" s="7">
        <v>0</v>
      </c>
      <c r="AB10" s="7">
        <v>0</v>
      </c>
      <c r="AC10" s="7">
        <v>0</v>
      </c>
      <c r="AD10" s="7">
        <v>0</v>
      </c>
      <c r="AE10" s="7">
        <f t="shared" si="11"/>
        <v>0</v>
      </c>
      <c r="AF10" s="21">
        <v>12166.3</v>
      </c>
      <c r="AG10" s="7">
        <f>3195+8644.1+327.2</f>
        <v>12166.300000000001</v>
      </c>
      <c r="AH10" s="7">
        <f t="shared" si="12"/>
        <v>100.00000000000003</v>
      </c>
      <c r="AI10" s="21">
        <v>0</v>
      </c>
      <c r="AJ10" s="7">
        <v>0</v>
      </c>
      <c r="AK10" s="7">
        <v>0</v>
      </c>
      <c r="AL10" s="21">
        <v>2082.4</v>
      </c>
      <c r="AM10" s="21">
        <v>2082.4</v>
      </c>
      <c r="AN10" s="7">
        <f t="shared" si="13"/>
        <v>100</v>
      </c>
      <c r="AO10" s="7" t="s">
        <v>7</v>
      </c>
      <c r="AP10" s="7"/>
      <c r="AQ10" s="7">
        <f t="shared" si="14"/>
        <v>0</v>
      </c>
      <c r="AR10" s="21">
        <v>6633</v>
      </c>
      <c r="AS10" s="7">
        <v>6047.1</v>
      </c>
      <c r="AT10" s="7">
        <f t="shared" si="28"/>
        <v>91.166892808683869</v>
      </c>
      <c r="AU10" s="21">
        <f>56562-4500</f>
        <v>52062</v>
      </c>
      <c r="AV10" s="7">
        <v>52061.9</v>
      </c>
      <c r="AW10" s="7">
        <f t="shared" si="15"/>
        <v>99.999807921324575</v>
      </c>
      <c r="AX10" s="21">
        <v>17572.599999999999</v>
      </c>
      <c r="AY10" s="21">
        <v>17572.599999999999</v>
      </c>
      <c r="AZ10" s="7">
        <f t="shared" si="16"/>
        <v>100</v>
      </c>
      <c r="BA10" s="7" t="s">
        <v>7</v>
      </c>
      <c r="BB10" s="7">
        <v>0</v>
      </c>
      <c r="BC10" s="7">
        <f t="shared" si="17"/>
        <v>0</v>
      </c>
      <c r="BD10" s="21">
        <f>53802-11.1</f>
        <v>53790.9</v>
      </c>
      <c r="BE10" s="7">
        <f>13629+29600.9+10553.6</f>
        <v>53783.5</v>
      </c>
      <c r="BF10" s="7">
        <f t="shared" si="18"/>
        <v>99.986243026236778</v>
      </c>
      <c r="BG10" s="7" t="s">
        <v>7</v>
      </c>
      <c r="BH10" s="7" t="s">
        <v>7</v>
      </c>
      <c r="BI10" s="7">
        <f t="shared" si="19"/>
        <v>0</v>
      </c>
      <c r="BJ10" s="21">
        <v>5521.1</v>
      </c>
      <c r="BK10" s="21">
        <v>5521.1</v>
      </c>
      <c r="BL10" s="7">
        <f t="shared" si="20"/>
        <v>100</v>
      </c>
      <c r="BM10" s="21">
        <v>358801.8</v>
      </c>
      <c r="BN10" s="7">
        <v>358801.6</v>
      </c>
      <c r="BO10" s="7">
        <f t="shared" si="21"/>
        <v>99.999944258919555</v>
      </c>
      <c r="BP10" s="7">
        <f t="shared" si="22"/>
        <v>358801.80000000005</v>
      </c>
      <c r="BQ10" s="7">
        <f t="shared" si="23"/>
        <v>358801.60000000003</v>
      </c>
      <c r="BR10" s="7">
        <f t="shared" si="24"/>
        <v>99.999944258919555</v>
      </c>
      <c r="BS10" s="7">
        <v>237938.1</v>
      </c>
      <c r="BT10" s="7">
        <v>237937.9</v>
      </c>
      <c r="BU10" s="7">
        <f t="shared" ref="BU10:BU26" si="32">BT10/BS10*100</f>
        <v>99.999915944525071</v>
      </c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>
        <v>99338.3</v>
      </c>
      <c r="CI10" s="7">
        <v>99338.3</v>
      </c>
      <c r="CJ10" s="7">
        <f t="shared" ref="CJ10:CJ14" si="33">CI10/CH10*100</f>
        <v>100</v>
      </c>
      <c r="CK10" s="7">
        <v>21525.4</v>
      </c>
      <c r="CL10" s="7">
        <v>21525.4</v>
      </c>
      <c r="CM10" s="7">
        <f t="shared" ref="CM10" si="34">CL10/CK10*100</f>
        <v>100</v>
      </c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>
        <v>0</v>
      </c>
      <c r="DA10" s="7">
        <v>0</v>
      </c>
      <c r="DB10" s="7">
        <v>0</v>
      </c>
      <c r="DC10" s="7" t="s">
        <v>7</v>
      </c>
      <c r="DD10" s="7">
        <v>0</v>
      </c>
      <c r="DE10" s="7">
        <f t="shared" si="25"/>
        <v>0</v>
      </c>
      <c r="DF10" s="21">
        <v>455.6</v>
      </c>
      <c r="DG10" s="21">
        <v>455.6</v>
      </c>
      <c r="DH10" s="7">
        <f t="shared" si="26"/>
        <v>100</v>
      </c>
      <c r="DI10" s="9">
        <v>816.9</v>
      </c>
      <c r="DJ10" s="9">
        <v>816.9</v>
      </c>
      <c r="DK10" s="7">
        <f>DJ10/DI10*100</f>
        <v>100</v>
      </c>
      <c r="DL10" s="8">
        <v>6993.5</v>
      </c>
      <c r="DM10" s="8">
        <v>6480.2</v>
      </c>
      <c r="DN10" s="7">
        <f t="shared" si="27"/>
        <v>92.660327446914991</v>
      </c>
      <c r="DO10" s="8">
        <v>3953.7</v>
      </c>
      <c r="DP10" s="8">
        <v>3953.6</v>
      </c>
      <c r="DQ10" s="7">
        <f t="shared" si="29"/>
        <v>99.997470723625966</v>
      </c>
      <c r="DR10" s="8"/>
      <c r="DS10" s="8"/>
      <c r="DT10" s="8"/>
      <c r="DU10" s="8"/>
      <c r="DV10" s="8"/>
      <c r="DW10" s="8"/>
    </row>
    <row r="11" spans="1:127" s="2" customFormat="1" ht="18" customHeight="1" x14ac:dyDescent="0.3">
      <c r="A11" s="12" t="s">
        <v>8</v>
      </c>
      <c r="B11" s="7">
        <f t="shared" si="0"/>
        <v>1058298.2</v>
      </c>
      <c r="C11" s="7">
        <f t="shared" si="1"/>
        <v>1055886.5999999999</v>
      </c>
      <c r="D11" s="7">
        <f t="shared" si="2"/>
        <v>99.772124718722935</v>
      </c>
      <c r="E11" s="25">
        <v>18118.2</v>
      </c>
      <c r="F11" s="7">
        <v>18118.2</v>
      </c>
      <c r="G11" s="7">
        <f t="shared" si="3"/>
        <v>100</v>
      </c>
      <c r="H11" s="8">
        <v>576.5</v>
      </c>
      <c r="I11" s="8">
        <v>576.4</v>
      </c>
      <c r="J11" s="7">
        <f t="shared" si="4"/>
        <v>99.982653946227231</v>
      </c>
      <c r="K11" s="21">
        <v>450654.7</v>
      </c>
      <c r="L11" s="7">
        <f>450102.9+551.7</f>
        <v>450654.60000000003</v>
      </c>
      <c r="M11" s="7">
        <f t="shared" si="5"/>
        <v>99.999977810061679</v>
      </c>
      <c r="N11" s="7">
        <v>0</v>
      </c>
      <c r="O11" s="7">
        <v>0</v>
      </c>
      <c r="P11" s="7">
        <f t="shared" si="6"/>
        <v>0</v>
      </c>
      <c r="Q11" s="7">
        <v>0</v>
      </c>
      <c r="R11" s="7"/>
      <c r="S11" s="7">
        <f t="shared" si="7"/>
        <v>0</v>
      </c>
      <c r="T11" s="21">
        <f>95497.3-3400</f>
        <v>92097.3</v>
      </c>
      <c r="U11" s="7">
        <v>91371.1</v>
      </c>
      <c r="V11" s="7">
        <f t="shared" si="8"/>
        <v>99.211486113056523</v>
      </c>
      <c r="W11" s="7">
        <v>0</v>
      </c>
      <c r="X11" s="7">
        <v>0</v>
      </c>
      <c r="Y11" s="7">
        <f t="shared" si="9"/>
        <v>0</v>
      </c>
      <c r="Z11" s="21">
        <v>0</v>
      </c>
      <c r="AA11" s="7">
        <v>0</v>
      </c>
      <c r="AB11" s="7">
        <v>0</v>
      </c>
      <c r="AC11" s="7">
        <v>0</v>
      </c>
      <c r="AD11" s="7" t="s">
        <v>7</v>
      </c>
      <c r="AE11" s="7">
        <f t="shared" si="11"/>
        <v>0</v>
      </c>
      <c r="AF11" s="21">
        <v>1363.7</v>
      </c>
      <c r="AG11" s="7">
        <f>1200+163.7</f>
        <v>1363.7</v>
      </c>
      <c r="AH11" s="7">
        <f t="shared" si="12"/>
        <v>100</v>
      </c>
      <c r="AI11" s="21">
        <v>0</v>
      </c>
      <c r="AJ11" s="7">
        <v>0</v>
      </c>
      <c r="AK11" s="7">
        <v>0</v>
      </c>
      <c r="AL11" s="21">
        <v>10113.700000000001</v>
      </c>
      <c r="AM11" s="21">
        <v>10113.700000000001</v>
      </c>
      <c r="AN11" s="7">
        <f t="shared" si="13"/>
        <v>100</v>
      </c>
      <c r="AO11" s="7" t="s">
        <v>7</v>
      </c>
      <c r="AP11" s="7"/>
      <c r="AQ11" s="7">
        <f t="shared" si="14"/>
        <v>0</v>
      </c>
      <c r="AR11" s="21">
        <v>0</v>
      </c>
      <c r="AS11" s="7">
        <v>0</v>
      </c>
      <c r="AT11" s="7">
        <v>0</v>
      </c>
      <c r="AU11" s="21">
        <v>53565.4</v>
      </c>
      <c r="AV11" s="21">
        <v>53565.4</v>
      </c>
      <c r="AW11" s="7">
        <f t="shared" si="15"/>
        <v>100</v>
      </c>
      <c r="AX11" s="21">
        <v>10556.7</v>
      </c>
      <c r="AY11" s="21">
        <v>10556.7</v>
      </c>
      <c r="AZ11" s="7">
        <f t="shared" si="16"/>
        <v>100</v>
      </c>
      <c r="BA11" s="7" t="s">
        <v>7</v>
      </c>
      <c r="BB11" s="7">
        <v>0</v>
      </c>
      <c r="BC11" s="7">
        <f t="shared" si="17"/>
        <v>0</v>
      </c>
      <c r="BD11" s="21">
        <f>59040.5+1161.7</f>
        <v>60202.2</v>
      </c>
      <c r="BE11" s="7">
        <f>39049.1+21120.3</f>
        <v>60169.399999999994</v>
      </c>
      <c r="BF11" s="7">
        <f t="shared" si="18"/>
        <v>99.945516941241337</v>
      </c>
      <c r="BG11" s="7" t="s">
        <v>7</v>
      </c>
      <c r="BH11" s="7" t="s">
        <v>7</v>
      </c>
      <c r="BI11" s="7">
        <f t="shared" si="19"/>
        <v>0</v>
      </c>
      <c r="BJ11" s="21">
        <v>12321.6</v>
      </c>
      <c r="BK11" s="21">
        <v>12321.6</v>
      </c>
      <c r="BL11" s="7">
        <f t="shared" si="20"/>
        <v>100</v>
      </c>
      <c r="BM11" s="21">
        <f>347155.8-17820</f>
        <v>329335.8</v>
      </c>
      <c r="BN11" s="7">
        <v>329335.59999999998</v>
      </c>
      <c r="BO11" s="7">
        <f t="shared" si="21"/>
        <v>99.999939271709906</v>
      </c>
      <c r="BP11" s="7">
        <f t="shared" si="22"/>
        <v>329335.8</v>
      </c>
      <c r="BQ11" s="7">
        <f t="shared" si="23"/>
        <v>329335.59999999998</v>
      </c>
      <c r="BR11" s="7">
        <f t="shared" si="24"/>
        <v>99.999939271709906</v>
      </c>
      <c r="BS11" s="7">
        <v>329335.8</v>
      </c>
      <c r="BT11" s="7">
        <v>329335.59999999998</v>
      </c>
      <c r="BU11" s="7">
        <f t="shared" si="32"/>
        <v>99.999939271709906</v>
      </c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 t="s">
        <v>27</v>
      </c>
      <c r="CK11" s="7">
        <v>0</v>
      </c>
      <c r="CL11" s="7">
        <v>0</v>
      </c>
      <c r="CM11" s="7">
        <v>0</v>
      </c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>
        <v>0</v>
      </c>
      <c r="DA11" s="7">
        <v>0</v>
      </c>
      <c r="DB11" s="7">
        <v>0</v>
      </c>
      <c r="DC11" s="7" t="s">
        <v>7</v>
      </c>
      <c r="DD11" s="7">
        <v>0</v>
      </c>
      <c r="DE11" s="7">
        <f t="shared" si="25"/>
        <v>0</v>
      </c>
      <c r="DF11" s="21">
        <v>670.6</v>
      </c>
      <c r="DG11" s="21">
        <v>670.6</v>
      </c>
      <c r="DH11" s="7">
        <f t="shared" si="26"/>
        <v>100</v>
      </c>
      <c r="DI11" s="9">
        <v>0</v>
      </c>
      <c r="DJ11" s="16">
        <v>0</v>
      </c>
      <c r="DK11" s="7">
        <v>0</v>
      </c>
      <c r="DL11" s="8">
        <v>11298.2</v>
      </c>
      <c r="DM11" s="8">
        <v>11298.2</v>
      </c>
      <c r="DN11" s="7">
        <f t="shared" si="27"/>
        <v>100</v>
      </c>
      <c r="DO11" s="8">
        <v>7423.6</v>
      </c>
      <c r="DP11" s="8">
        <v>5771.4</v>
      </c>
      <c r="DQ11" s="7">
        <f t="shared" si="29"/>
        <v>77.743951721536703</v>
      </c>
      <c r="DR11" s="8"/>
      <c r="DS11" s="8"/>
      <c r="DT11" s="8"/>
      <c r="DU11" s="8"/>
      <c r="DV11" s="8"/>
      <c r="DW11" s="8"/>
    </row>
    <row r="12" spans="1:127" s="2" customFormat="1" ht="18.600000000000001" customHeight="1" x14ac:dyDescent="0.3">
      <c r="A12" s="12" t="s">
        <v>9</v>
      </c>
      <c r="B12" s="7">
        <f t="shared" si="0"/>
        <v>893049.1</v>
      </c>
      <c r="C12" s="7">
        <f t="shared" si="1"/>
        <v>884812.20000000019</v>
      </c>
      <c r="D12" s="7">
        <f t="shared" si="2"/>
        <v>99.077665494540028</v>
      </c>
      <c r="E12" s="25">
        <v>24069.599999999999</v>
      </c>
      <c r="F12" s="7">
        <v>24069.599999999999</v>
      </c>
      <c r="G12" s="7">
        <f t="shared" si="3"/>
        <v>100</v>
      </c>
      <c r="H12" s="8">
        <v>530.79999999999995</v>
      </c>
      <c r="I12" s="8">
        <v>530.79999999999995</v>
      </c>
      <c r="J12" s="7">
        <f t="shared" si="4"/>
        <v>100</v>
      </c>
      <c r="K12" s="21">
        <v>16298.1</v>
      </c>
      <c r="L12" s="7">
        <f>15335.8+962.3</f>
        <v>16298.099999999999</v>
      </c>
      <c r="M12" s="7">
        <f t="shared" si="5"/>
        <v>99.999999999999986</v>
      </c>
      <c r="N12" s="7">
        <v>0</v>
      </c>
      <c r="O12" s="7">
        <v>0</v>
      </c>
      <c r="P12" s="7">
        <f t="shared" si="6"/>
        <v>0</v>
      </c>
      <c r="Q12" s="7">
        <v>0</v>
      </c>
      <c r="R12" s="7"/>
      <c r="S12" s="7">
        <f t="shared" si="7"/>
        <v>0</v>
      </c>
      <c r="T12" s="21">
        <f>66865.6-4027</f>
        <v>62838.600000000006</v>
      </c>
      <c r="U12" s="7">
        <v>62701.2</v>
      </c>
      <c r="V12" s="7">
        <f t="shared" si="8"/>
        <v>99.781344587562401</v>
      </c>
      <c r="W12" s="7">
        <v>0</v>
      </c>
      <c r="X12" s="7">
        <v>0</v>
      </c>
      <c r="Y12" s="7">
        <f t="shared" si="9"/>
        <v>0</v>
      </c>
      <c r="Z12" s="21">
        <v>0</v>
      </c>
      <c r="AA12" s="7">
        <v>0</v>
      </c>
      <c r="AB12" s="7">
        <v>0</v>
      </c>
      <c r="AC12" s="7">
        <v>0</v>
      </c>
      <c r="AD12" s="7">
        <v>0</v>
      </c>
      <c r="AE12" s="7">
        <f t="shared" si="11"/>
        <v>0</v>
      </c>
      <c r="AF12" s="21">
        <v>12028.9</v>
      </c>
      <c r="AG12" s="7">
        <f>6101.7+5600+327.2</f>
        <v>12028.900000000001</v>
      </c>
      <c r="AH12" s="7">
        <f t="shared" si="12"/>
        <v>100.00000000000003</v>
      </c>
      <c r="AI12" s="21">
        <v>0</v>
      </c>
      <c r="AJ12" s="7">
        <v>0</v>
      </c>
      <c r="AK12" s="7">
        <v>0</v>
      </c>
      <c r="AL12" s="21">
        <v>1982.4</v>
      </c>
      <c r="AM12" s="21">
        <v>1982.4</v>
      </c>
      <c r="AN12" s="7">
        <f t="shared" si="13"/>
        <v>100</v>
      </c>
      <c r="AO12" s="7" t="s">
        <v>7</v>
      </c>
      <c r="AP12" s="7"/>
      <c r="AQ12" s="7">
        <f t="shared" si="14"/>
        <v>0</v>
      </c>
      <c r="AR12" s="21">
        <v>4449.1000000000004</v>
      </c>
      <c r="AS12" s="7">
        <v>1924.6</v>
      </c>
      <c r="AT12" s="7">
        <f t="shared" si="28"/>
        <v>43.258187049066102</v>
      </c>
      <c r="AU12" s="21">
        <v>58128.3</v>
      </c>
      <c r="AV12" s="21">
        <v>58128.3</v>
      </c>
      <c r="AW12" s="7">
        <f t="shared" si="15"/>
        <v>100</v>
      </c>
      <c r="AX12" s="21">
        <v>8117.8</v>
      </c>
      <c r="AY12" s="21">
        <v>8117.8</v>
      </c>
      <c r="AZ12" s="7">
        <f t="shared" si="16"/>
        <v>100</v>
      </c>
      <c r="BA12" s="7" t="s">
        <v>7</v>
      </c>
      <c r="BB12" s="7">
        <v>0</v>
      </c>
      <c r="BC12" s="7">
        <f t="shared" si="17"/>
        <v>0</v>
      </c>
      <c r="BD12" s="21">
        <f>21518.3+5000</f>
        <v>26518.3</v>
      </c>
      <c r="BE12" s="7">
        <v>26119.1</v>
      </c>
      <c r="BF12" s="7">
        <f t="shared" si="18"/>
        <v>98.494624466877596</v>
      </c>
      <c r="BG12" s="7" t="s">
        <v>7</v>
      </c>
      <c r="BH12" s="7" t="s">
        <v>7</v>
      </c>
      <c r="BI12" s="7">
        <f t="shared" si="19"/>
        <v>0</v>
      </c>
      <c r="BJ12" s="21">
        <v>14135.2</v>
      </c>
      <c r="BK12" s="21">
        <v>14135.2</v>
      </c>
      <c r="BL12" s="7">
        <f t="shared" si="20"/>
        <v>100</v>
      </c>
      <c r="BM12" s="21">
        <v>623532.19999999995</v>
      </c>
      <c r="BN12" s="7">
        <v>622737.80000000005</v>
      </c>
      <c r="BO12" s="7">
        <f t="shared" si="21"/>
        <v>99.872596796123787</v>
      </c>
      <c r="BP12" s="7">
        <f t="shared" si="22"/>
        <v>623532.19999999995</v>
      </c>
      <c r="BQ12" s="7">
        <f t="shared" si="23"/>
        <v>622737.80000000005</v>
      </c>
      <c r="BR12" s="7">
        <f t="shared" si="24"/>
        <v>99.872596796123787</v>
      </c>
      <c r="BS12" s="7">
        <v>623532.19999999995</v>
      </c>
      <c r="BT12" s="7">
        <v>622737.80000000005</v>
      </c>
      <c r="BU12" s="7">
        <f t="shared" si="32"/>
        <v>99.872596796123787</v>
      </c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 t="s">
        <v>27</v>
      </c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>
        <v>0</v>
      </c>
      <c r="DA12" s="7">
        <v>0</v>
      </c>
      <c r="DB12" s="7">
        <v>0</v>
      </c>
      <c r="DC12" s="7" t="s">
        <v>7</v>
      </c>
      <c r="DD12" s="7">
        <v>0</v>
      </c>
      <c r="DE12" s="7">
        <f t="shared" si="25"/>
        <v>0</v>
      </c>
      <c r="DF12" s="21">
        <v>663.3</v>
      </c>
      <c r="DG12" s="21">
        <v>663.3</v>
      </c>
      <c r="DH12" s="7">
        <f t="shared" si="26"/>
        <v>100</v>
      </c>
      <c r="DI12" s="9">
        <v>0</v>
      </c>
      <c r="DJ12" s="16">
        <v>0</v>
      </c>
      <c r="DK12" s="7">
        <v>0</v>
      </c>
      <c r="DL12" s="8">
        <v>23548.6</v>
      </c>
      <c r="DM12" s="8">
        <v>23548.3</v>
      </c>
      <c r="DN12" s="7">
        <f t="shared" si="27"/>
        <v>99.998726038915265</v>
      </c>
      <c r="DO12" s="8">
        <v>16207.9</v>
      </c>
      <c r="DP12" s="8">
        <v>11826.8</v>
      </c>
      <c r="DQ12" s="7">
        <f t="shared" si="29"/>
        <v>72.969354450607412</v>
      </c>
      <c r="DR12" s="8"/>
      <c r="DS12" s="8"/>
      <c r="DT12" s="8"/>
      <c r="DU12" s="8"/>
      <c r="DV12" s="8"/>
      <c r="DW12" s="8"/>
    </row>
    <row r="13" spans="1:127" s="2" customFormat="1" ht="18.600000000000001" customHeight="1" x14ac:dyDescent="0.3">
      <c r="A13" s="12" t="s">
        <v>35</v>
      </c>
      <c r="B13" s="7">
        <f t="shared" si="0"/>
        <v>1082521</v>
      </c>
      <c r="C13" s="7">
        <f t="shared" si="1"/>
        <v>1082066.2</v>
      </c>
      <c r="D13" s="7">
        <f t="shared" si="2"/>
        <v>99.957986958220673</v>
      </c>
      <c r="E13" s="25">
        <v>28949.4</v>
      </c>
      <c r="F13" s="7">
        <v>28895.8</v>
      </c>
      <c r="G13" s="7">
        <f t="shared" si="3"/>
        <v>99.814849357845063</v>
      </c>
      <c r="H13" s="8">
        <v>449.5</v>
      </c>
      <c r="I13" s="8">
        <v>449.5</v>
      </c>
      <c r="J13" s="7">
        <f t="shared" si="4"/>
        <v>100</v>
      </c>
      <c r="K13" s="21">
        <v>62606.5</v>
      </c>
      <c r="L13" s="7">
        <f>58930.6+3669.3</f>
        <v>62599.9</v>
      </c>
      <c r="M13" s="7">
        <f t="shared" si="5"/>
        <v>99.989457963629974</v>
      </c>
      <c r="N13" s="7">
        <v>0</v>
      </c>
      <c r="O13" s="7">
        <v>0</v>
      </c>
      <c r="P13" s="7">
        <f t="shared" si="6"/>
        <v>0</v>
      </c>
      <c r="Q13" s="7">
        <v>0</v>
      </c>
      <c r="R13" s="7"/>
      <c r="S13" s="7">
        <f t="shared" si="7"/>
        <v>0</v>
      </c>
      <c r="T13" s="21">
        <f>238848+6000</f>
        <v>244848</v>
      </c>
      <c r="U13" s="7">
        <v>244843.6</v>
      </c>
      <c r="V13" s="7">
        <f t="shared" si="8"/>
        <v>99.998202966738546</v>
      </c>
      <c r="W13" s="7">
        <v>0</v>
      </c>
      <c r="X13" s="7">
        <v>0</v>
      </c>
      <c r="Y13" s="7">
        <f t="shared" si="9"/>
        <v>0</v>
      </c>
      <c r="Z13" s="21">
        <v>0</v>
      </c>
      <c r="AA13" s="7">
        <v>0</v>
      </c>
      <c r="AB13" s="7">
        <v>0</v>
      </c>
      <c r="AC13" s="7">
        <v>0</v>
      </c>
      <c r="AD13" s="7" t="s">
        <v>7</v>
      </c>
      <c r="AE13" s="7">
        <f t="shared" si="11"/>
        <v>0</v>
      </c>
      <c r="AF13" s="21">
        <v>5700</v>
      </c>
      <c r="AG13" s="7">
        <v>5700</v>
      </c>
      <c r="AH13" s="7">
        <f t="shared" si="12"/>
        <v>100</v>
      </c>
      <c r="AI13" s="21">
        <v>0</v>
      </c>
      <c r="AJ13" s="7">
        <v>0</v>
      </c>
      <c r="AK13" s="7">
        <v>0</v>
      </c>
      <c r="AL13" s="21">
        <v>5674</v>
      </c>
      <c r="AM13" s="21">
        <v>5674</v>
      </c>
      <c r="AN13" s="7">
        <f t="shared" si="13"/>
        <v>100</v>
      </c>
      <c r="AO13" s="7" t="s">
        <v>7</v>
      </c>
      <c r="AP13" s="7"/>
      <c r="AQ13" s="7">
        <f t="shared" si="14"/>
        <v>0</v>
      </c>
      <c r="AR13" s="21">
        <v>745.5</v>
      </c>
      <c r="AS13" s="7">
        <v>444.5</v>
      </c>
      <c r="AT13" s="7">
        <f t="shared" si="28"/>
        <v>59.624413145539904</v>
      </c>
      <c r="AU13" s="21">
        <f>101662.5+13988.2</f>
        <v>115650.7</v>
      </c>
      <c r="AV13" s="7">
        <v>115649.9</v>
      </c>
      <c r="AW13" s="7">
        <f t="shared" si="15"/>
        <v>99.999308261860932</v>
      </c>
      <c r="AX13" s="21">
        <v>6649.6</v>
      </c>
      <c r="AY13" s="21">
        <v>6649.6</v>
      </c>
      <c r="AZ13" s="7">
        <f t="shared" si="16"/>
        <v>100</v>
      </c>
      <c r="BA13" s="7" t="s">
        <v>7</v>
      </c>
      <c r="BB13" s="7">
        <v>0</v>
      </c>
      <c r="BC13" s="7">
        <f t="shared" si="17"/>
        <v>0</v>
      </c>
      <c r="BD13" s="21">
        <f>57575+3122.7</f>
        <v>60697.7</v>
      </c>
      <c r="BE13" s="7">
        <f>60697.7</f>
        <v>60697.7</v>
      </c>
      <c r="BF13" s="7">
        <f t="shared" si="18"/>
        <v>100</v>
      </c>
      <c r="BG13" s="7" t="s">
        <v>7</v>
      </c>
      <c r="BH13" s="7" t="s">
        <v>7</v>
      </c>
      <c r="BI13" s="7">
        <f t="shared" si="19"/>
        <v>0</v>
      </c>
      <c r="BJ13" s="21">
        <v>16542.400000000001</v>
      </c>
      <c r="BK13" s="21">
        <v>16542.400000000001</v>
      </c>
      <c r="BL13" s="7">
        <f t="shared" si="20"/>
        <v>100</v>
      </c>
      <c r="BM13" s="21">
        <v>492416.6</v>
      </c>
      <c r="BN13" s="7">
        <v>492354.8</v>
      </c>
      <c r="BO13" s="7">
        <f t="shared" si="21"/>
        <v>99.987449651372444</v>
      </c>
      <c r="BP13" s="7">
        <f t="shared" si="22"/>
        <v>492416.6</v>
      </c>
      <c r="BQ13" s="7">
        <f t="shared" si="23"/>
        <v>492354.7</v>
      </c>
      <c r="BR13" s="7">
        <f t="shared" si="24"/>
        <v>99.987429343364951</v>
      </c>
      <c r="BS13" s="7">
        <v>492416.6</v>
      </c>
      <c r="BT13" s="7">
        <v>492354.7</v>
      </c>
      <c r="BU13" s="7">
        <f t="shared" si="32"/>
        <v>99.987429343364951</v>
      </c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 t="s">
        <v>27</v>
      </c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>
        <v>0</v>
      </c>
      <c r="DA13" s="7">
        <v>0</v>
      </c>
      <c r="DB13" s="7">
        <v>0</v>
      </c>
      <c r="DC13" s="7" t="s">
        <v>7</v>
      </c>
      <c r="DD13" s="7"/>
      <c r="DE13" s="7">
        <f t="shared" si="25"/>
        <v>0</v>
      </c>
      <c r="DF13" s="21">
        <v>526</v>
      </c>
      <c r="DG13" s="21">
        <v>526</v>
      </c>
      <c r="DH13" s="7">
        <f t="shared" si="26"/>
        <v>100</v>
      </c>
      <c r="DI13" s="16">
        <v>194.8</v>
      </c>
      <c r="DJ13" s="16">
        <v>194.8</v>
      </c>
      <c r="DK13" s="7">
        <f t="shared" ref="DK13:DK17" si="35">DJ13/DI13*100</f>
        <v>100</v>
      </c>
      <c r="DL13" s="8">
        <v>20983.8</v>
      </c>
      <c r="DM13" s="8">
        <v>20958.3</v>
      </c>
      <c r="DN13" s="7">
        <f t="shared" si="27"/>
        <v>99.878477682783867</v>
      </c>
      <c r="DO13" s="8">
        <v>19886.5</v>
      </c>
      <c r="DP13" s="8">
        <v>19885.400000000001</v>
      </c>
      <c r="DQ13" s="7">
        <f t="shared" si="29"/>
        <v>99.994468609358108</v>
      </c>
      <c r="DR13" s="8">
        <v>0</v>
      </c>
      <c r="DS13" s="8">
        <v>0</v>
      </c>
      <c r="DT13" s="7" t="e">
        <f>DS13/DR13*100</f>
        <v>#DIV/0!</v>
      </c>
      <c r="DU13" s="8">
        <v>0</v>
      </c>
      <c r="DV13" s="8">
        <v>0</v>
      </c>
      <c r="DW13" s="8">
        <f>DV13-DU13</f>
        <v>0</v>
      </c>
    </row>
    <row r="14" spans="1:127" s="2" customFormat="1" ht="31.2" x14ac:dyDescent="0.3">
      <c r="A14" s="12" t="s">
        <v>10</v>
      </c>
      <c r="B14" s="7">
        <f t="shared" si="0"/>
        <v>1186705.7000000002</v>
      </c>
      <c r="C14" s="7">
        <f t="shared" si="1"/>
        <v>1185762</v>
      </c>
      <c r="D14" s="7">
        <f t="shared" si="2"/>
        <v>99.920477334860678</v>
      </c>
      <c r="E14" s="25">
        <v>4140.3</v>
      </c>
      <c r="F14" s="7">
        <v>4140.2</v>
      </c>
      <c r="G14" s="7">
        <f t="shared" si="3"/>
        <v>99.997584716083367</v>
      </c>
      <c r="H14" s="8">
        <v>873.8</v>
      </c>
      <c r="I14" s="8">
        <v>873.8</v>
      </c>
      <c r="J14" s="7">
        <f t="shared" si="4"/>
        <v>100</v>
      </c>
      <c r="K14" s="21">
        <v>127598.8</v>
      </c>
      <c r="L14" s="7">
        <f>118138.6+9419</f>
        <v>127557.6</v>
      </c>
      <c r="M14" s="7">
        <f t="shared" si="5"/>
        <v>99.967711295090552</v>
      </c>
      <c r="N14" s="7">
        <v>0</v>
      </c>
      <c r="O14" s="7">
        <v>0</v>
      </c>
      <c r="P14" s="7">
        <f t="shared" si="6"/>
        <v>0</v>
      </c>
      <c r="Q14" s="7">
        <v>0</v>
      </c>
      <c r="R14" s="7"/>
      <c r="S14" s="7">
        <f t="shared" si="7"/>
        <v>0</v>
      </c>
      <c r="T14" s="21">
        <f>212066.8+40000</f>
        <v>252066.8</v>
      </c>
      <c r="U14" s="7">
        <v>252066.5</v>
      </c>
      <c r="V14" s="7">
        <f t="shared" si="8"/>
        <v>99.999880983929657</v>
      </c>
      <c r="W14" s="7">
        <v>0</v>
      </c>
      <c r="X14" s="7">
        <v>0</v>
      </c>
      <c r="Y14" s="7">
        <f t="shared" si="9"/>
        <v>0</v>
      </c>
      <c r="Z14" s="21">
        <v>0</v>
      </c>
      <c r="AA14" s="7">
        <v>0</v>
      </c>
      <c r="AB14" s="7">
        <v>0</v>
      </c>
      <c r="AC14" s="7">
        <v>0</v>
      </c>
      <c r="AD14" s="7" t="s">
        <v>7</v>
      </c>
      <c r="AE14" s="7">
        <f t="shared" si="11"/>
        <v>0</v>
      </c>
      <c r="AF14" s="21">
        <v>21193.200000000001</v>
      </c>
      <c r="AG14" s="7">
        <f>21000+193.2</f>
        <v>21193.200000000001</v>
      </c>
      <c r="AH14" s="7">
        <f t="shared" si="12"/>
        <v>100</v>
      </c>
      <c r="AI14" s="21">
        <v>0</v>
      </c>
      <c r="AJ14" s="7">
        <v>0</v>
      </c>
      <c r="AK14" s="7">
        <v>0</v>
      </c>
      <c r="AL14" s="21">
        <v>7205.7</v>
      </c>
      <c r="AM14" s="21">
        <v>7205.7</v>
      </c>
      <c r="AN14" s="7">
        <f t="shared" si="13"/>
        <v>100</v>
      </c>
      <c r="AO14" s="7" t="s">
        <v>7</v>
      </c>
      <c r="AP14" s="7"/>
      <c r="AQ14" s="7">
        <f t="shared" si="14"/>
        <v>0</v>
      </c>
      <c r="AR14" s="21">
        <v>9212.5</v>
      </c>
      <c r="AS14" s="7">
        <v>9203.6</v>
      </c>
      <c r="AT14" s="7">
        <f t="shared" si="28"/>
        <v>99.903392130257799</v>
      </c>
      <c r="AU14" s="21">
        <f>46503.1+5529.8</f>
        <v>52032.9</v>
      </c>
      <c r="AV14" s="7">
        <v>52032.9</v>
      </c>
      <c r="AW14" s="7">
        <f t="shared" si="15"/>
        <v>100</v>
      </c>
      <c r="AX14" s="21">
        <v>22798.6</v>
      </c>
      <c r="AY14" s="21">
        <v>22798.6</v>
      </c>
      <c r="AZ14" s="7">
        <f t="shared" si="16"/>
        <v>100</v>
      </c>
      <c r="BA14" s="7" t="s">
        <v>7</v>
      </c>
      <c r="BB14" s="7">
        <v>0</v>
      </c>
      <c r="BC14" s="7">
        <f t="shared" si="17"/>
        <v>0</v>
      </c>
      <c r="BD14" s="21">
        <f>64894+6353.8</f>
        <v>71247.8</v>
      </c>
      <c r="BE14" s="7">
        <f>2949+44285.9+24012.9</f>
        <v>71247.8</v>
      </c>
      <c r="BF14" s="7">
        <f t="shared" si="18"/>
        <v>100</v>
      </c>
      <c r="BG14" s="7" t="s">
        <v>7</v>
      </c>
      <c r="BH14" s="7" t="s">
        <v>7</v>
      </c>
      <c r="BI14" s="7">
        <f t="shared" si="19"/>
        <v>0</v>
      </c>
      <c r="BJ14" s="21">
        <v>9838.6</v>
      </c>
      <c r="BK14" s="21">
        <v>9838.4</v>
      </c>
      <c r="BL14" s="7">
        <f t="shared" si="20"/>
        <v>99.99796719045392</v>
      </c>
      <c r="BM14" s="21">
        <v>565058.69999999995</v>
      </c>
      <c r="BN14" s="7">
        <v>564704.6</v>
      </c>
      <c r="BO14" s="7">
        <f t="shared" si="21"/>
        <v>99.937333944243321</v>
      </c>
      <c r="BP14" s="7">
        <f t="shared" si="22"/>
        <v>565058.69999999995</v>
      </c>
      <c r="BQ14" s="7">
        <f t="shared" si="23"/>
        <v>564704.6</v>
      </c>
      <c r="BR14" s="7">
        <f t="shared" si="24"/>
        <v>99.937333944243321</v>
      </c>
      <c r="BS14" s="7">
        <v>474373.7</v>
      </c>
      <c r="BT14" s="7">
        <v>474019.6</v>
      </c>
      <c r="BU14" s="7">
        <f t="shared" si="32"/>
        <v>99.925354209139329</v>
      </c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>
        <v>43384.1</v>
      </c>
      <c r="CI14" s="7">
        <v>43384.1</v>
      </c>
      <c r="CJ14" s="7">
        <f t="shared" si="33"/>
        <v>100</v>
      </c>
      <c r="CK14" s="7">
        <v>47300.9</v>
      </c>
      <c r="CL14" s="7">
        <v>47300.9</v>
      </c>
      <c r="CM14" s="7">
        <f t="shared" ref="CM14" si="36">CL14/CK14*100</f>
        <v>100</v>
      </c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>
        <v>0</v>
      </c>
      <c r="DA14" s="7">
        <v>0</v>
      </c>
      <c r="DB14" s="7">
        <v>0</v>
      </c>
      <c r="DC14" s="7" t="s">
        <v>7</v>
      </c>
      <c r="DD14" s="7">
        <v>0</v>
      </c>
      <c r="DE14" s="7">
        <f t="shared" si="25"/>
        <v>0</v>
      </c>
      <c r="DF14" s="21">
        <v>1103.5999999999999</v>
      </c>
      <c r="DG14" s="7">
        <v>968.1</v>
      </c>
      <c r="DH14" s="7">
        <f t="shared" si="26"/>
        <v>87.72200072490034</v>
      </c>
      <c r="DI14" s="9">
        <v>0</v>
      </c>
      <c r="DJ14" s="16">
        <v>0</v>
      </c>
      <c r="DK14" s="7">
        <v>0</v>
      </c>
      <c r="DL14" s="8">
        <v>24745.599999999999</v>
      </c>
      <c r="DM14" s="8">
        <v>24745.599999999999</v>
      </c>
      <c r="DN14" s="7">
        <f t="shared" si="27"/>
        <v>100</v>
      </c>
      <c r="DO14" s="8">
        <v>17588.8</v>
      </c>
      <c r="DP14" s="8">
        <v>17185.400000000001</v>
      </c>
      <c r="DQ14" s="7">
        <f t="shared" si="29"/>
        <v>97.70649504229965</v>
      </c>
      <c r="DR14" s="8"/>
      <c r="DS14" s="8"/>
      <c r="DT14" s="8"/>
      <c r="DU14" s="8"/>
      <c r="DV14" s="8"/>
      <c r="DW14" s="8"/>
    </row>
    <row r="15" spans="1:127" s="2" customFormat="1" ht="16.8" customHeight="1" x14ac:dyDescent="0.3">
      <c r="A15" s="12" t="s">
        <v>11</v>
      </c>
      <c r="B15" s="7">
        <f t="shared" si="0"/>
        <v>2839840.1000000006</v>
      </c>
      <c r="C15" s="7">
        <f t="shared" si="1"/>
        <v>2810308.0000000005</v>
      </c>
      <c r="D15" s="7">
        <f t="shared" si="2"/>
        <v>98.96007877344924</v>
      </c>
      <c r="E15" s="25">
        <v>38362.300000000003</v>
      </c>
      <c r="F15" s="7">
        <v>38360.800000000003</v>
      </c>
      <c r="G15" s="7">
        <f t="shared" si="3"/>
        <v>99.996089911188847</v>
      </c>
      <c r="H15" s="8">
        <v>286</v>
      </c>
      <c r="I15" s="8">
        <v>286</v>
      </c>
      <c r="J15" s="7">
        <f t="shared" si="4"/>
        <v>100</v>
      </c>
      <c r="K15" s="21">
        <v>528205.1</v>
      </c>
      <c r="L15" s="7">
        <v>528188.1</v>
      </c>
      <c r="M15" s="7">
        <f t="shared" si="5"/>
        <v>99.996781553226199</v>
      </c>
      <c r="N15" s="21">
        <v>4440.6000000000004</v>
      </c>
      <c r="O15" s="21">
        <v>4440.6000000000004</v>
      </c>
      <c r="P15" s="7">
        <f t="shared" ref="P15" si="37">O15/N15*100</f>
        <v>100</v>
      </c>
      <c r="Q15" s="7">
        <v>0</v>
      </c>
      <c r="R15" s="7">
        <v>0</v>
      </c>
      <c r="S15" s="7">
        <f t="shared" si="7"/>
        <v>0</v>
      </c>
      <c r="T15" s="21">
        <v>115741.5</v>
      </c>
      <c r="U15" s="7">
        <v>115741.5</v>
      </c>
      <c r="V15" s="7">
        <f t="shared" si="8"/>
        <v>100</v>
      </c>
      <c r="W15" s="7">
        <v>0</v>
      </c>
      <c r="X15" s="7">
        <v>0</v>
      </c>
      <c r="Y15" s="7">
        <f t="shared" si="9"/>
        <v>0</v>
      </c>
      <c r="Z15" s="21">
        <v>0</v>
      </c>
      <c r="AA15" s="7">
        <v>0</v>
      </c>
      <c r="AB15" s="7">
        <v>0</v>
      </c>
      <c r="AC15" s="7">
        <v>0</v>
      </c>
      <c r="AD15" s="7">
        <v>0</v>
      </c>
      <c r="AE15" s="7">
        <f t="shared" si="11"/>
        <v>0</v>
      </c>
      <c r="AF15" s="21">
        <v>2000</v>
      </c>
      <c r="AG15" s="7">
        <v>2000</v>
      </c>
      <c r="AH15" s="7">
        <f t="shared" si="12"/>
        <v>100</v>
      </c>
      <c r="AI15" s="21">
        <v>0</v>
      </c>
      <c r="AJ15" s="7">
        <v>0</v>
      </c>
      <c r="AK15" s="7">
        <v>0</v>
      </c>
      <c r="AL15" s="21">
        <v>2375.4</v>
      </c>
      <c r="AM15" s="21">
        <v>2375.4</v>
      </c>
      <c r="AN15" s="7">
        <f t="shared" si="13"/>
        <v>100</v>
      </c>
      <c r="AO15" s="7" t="s">
        <v>7</v>
      </c>
      <c r="AP15" s="7"/>
      <c r="AQ15" s="7">
        <f t="shared" si="14"/>
        <v>0</v>
      </c>
      <c r="AR15" s="21">
        <v>17384.400000000001</v>
      </c>
      <c r="AS15" s="21">
        <v>17384.400000000001</v>
      </c>
      <c r="AT15" s="7">
        <f t="shared" si="28"/>
        <v>100</v>
      </c>
      <c r="AU15" s="21">
        <f>137114.6-23962</f>
        <v>113152.6</v>
      </c>
      <c r="AV15" s="7">
        <v>113152.6</v>
      </c>
      <c r="AW15" s="7">
        <f t="shared" si="15"/>
        <v>100</v>
      </c>
      <c r="AX15" s="21">
        <v>14076.2</v>
      </c>
      <c r="AY15" s="21">
        <v>14076.2</v>
      </c>
      <c r="AZ15" s="7">
        <f t="shared" si="16"/>
        <v>100</v>
      </c>
      <c r="BA15" s="7" t="s">
        <v>7</v>
      </c>
      <c r="BB15" s="7">
        <v>0</v>
      </c>
      <c r="BC15" s="7">
        <f t="shared" si="17"/>
        <v>0</v>
      </c>
      <c r="BD15" s="21">
        <f>104432.6-1244.8</f>
        <v>103187.8</v>
      </c>
      <c r="BE15" s="7">
        <f>31293.1+42307.3+29586.5</f>
        <v>103186.9</v>
      </c>
      <c r="BF15" s="7">
        <f t="shared" si="18"/>
        <v>99.999127803868276</v>
      </c>
      <c r="BG15" s="7" t="s">
        <v>7</v>
      </c>
      <c r="BH15" s="7" t="s">
        <v>7</v>
      </c>
      <c r="BI15" s="7">
        <f t="shared" si="19"/>
        <v>0</v>
      </c>
      <c r="BJ15" s="21">
        <v>6503.9</v>
      </c>
      <c r="BK15" s="21">
        <v>6503.9</v>
      </c>
      <c r="BL15" s="7">
        <f t="shared" si="20"/>
        <v>100</v>
      </c>
      <c r="BM15" s="21">
        <v>1853610.6</v>
      </c>
      <c r="BN15" s="7">
        <v>1824684.3</v>
      </c>
      <c r="BO15" s="7">
        <f t="shared" si="21"/>
        <v>98.439461880504993</v>
      </c>
      <c r="BP15" s="7">
        <f t="shared" si="22"/>
        <v>1853610.5999999999</v>
      </c>
      <c r="BQ15" s="7">
        <f t="shared" si="23"/>
        <v>1824684.2999999998</v>
      </c>
      <c r="BR15" s="7">
        <f t="shared" si="24"/>
        <v>98.439461880504993</v>
      </c>
      <c r="BS15" s="7">
        <v>1682470.4</v>
      </c>
      <c r="BT15" s="7">
        <v>1682413.9</v>
      </c>
      <c r="BU15" s="7">
        <f t="shared" si="32"/>
        <v>99.996641842852029</v>
      </c>
      <c r="BV15" s="7"/>
      <c r="BW15" s="7"/>
      <c r="BX15" s="7"/>
      <c r="BY15" s="7"/>
      <c r="BZ15" s="7"/>
      <c r="CA15" s="7"/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/>
      <c r="CI15" s="7"/>
      <c r="CJ15" s="7"/>
      <c r="CK15" s="7"/>
      <c r="CL15" s="7"/>
      <c r="CM15" s="7"/>
      <c r="CN15" s="7">
        <v>121989.9</v>
      </c>
      <c r="CO15" s="7">
        <v>94255.7</v>
      </c>
      <c r="CP15" s="7">
        <f t="shared" ref="CP15" si="38">CO15/CN15*100</f>
        <v>77.265167034320058</v>
      </c>
      <c r="CQ15" s="7">
        <v>0</v>
      </c>
      <c r="CR15" s="7">
        <v>0</v>
      </c>
      <c r="CS15" s="7">
        <v>0</v>
      </c>
      <c r="CT15" s="7"/>
      <c r="CU15" s="7"/>
      <c r="CV15" s="7"/>
      <c r="CW15" s="7">
        <f>29291.6+19858.7</f>
        <v>49150.3</v>
      </c>
      <c r="CX15" s="7">
        <f>28614.8+19399.9</f>
        <v>48014.7</v>
      </c>
      <c r="CY15" s="7">
        <f t="shared" ref="CY15" si="39">CX15/CW15*100</f>
        <v>97.689535974348061</v>
      </c>
      <c r="CZ15" s="7">
        <v>57.5</v>
      </c>
      <c r="DA15" s="7">
        <v>57.5</v>
      </c>
      <c r="DB15" s="7">
        <f t="shared" si="31"/>
        <v>100</v>
      </c>
      <c r="DC15" s="7" t="s">
        <v>7</v>
      </c>
      <c r="DD15" s="7"/>
      <c r="DE15" s="7">
        <f t="shared" si="25"/>
        <v>0</v>
      </c>
      <c r="DF15" s="21">
        <v>5292.4</v>
      </c>
      <c r="DG15" s="7">
        <f>582.1+4710.1</f>
        <v>5292.2000000000007</v>
      </c>
      <c r="DH15" s="7">
        <f t="shared" si="26"/>
        <v>99.996220996145439</v>
      </c>
      <c r="DI15" s="9">
        <v>1994</v>
      </c>
      <c r="DJ15" s="9">
        <v>1994</v>
      </c>
      <c r="DK15" s="7">
        <f t="shared" si="35"/>
        <v>100</v>
      </c>
      <c r="DL15" s="8">
        <v>12386.6</v>
      </c>
      <c r="DM15" s="8">
        <v>12386.6</v>
      </c>
      <c r="DN15" s="7">
        <f t="shared" si="27"/>
        <v>100</v>
      </c>
      <c r="DO15" s="8">
        <v>20783.2</v>
      </c>
      <c r="DP15" s="8">
        <v>20197</v>
      </c>
      <c r="DQ15" s="7">
        <f t="shared" si="29"/>
        <v>97.179452634820436</v>
      </c>
      <c r="DR15" s="8"/>
      <c r="DS15" s="8"/>
      <c r="DT15" s="8"/>
      <c r="DU15" s="8"/>
      <c r="DV15" s="8"/>
      <c r="DW15" s="8"/>
    </row>
    <row r="16" spans="1:127" s="2" customFormat="1" ht="17.399999999999999" customHeight="1" x14ac:dyDescent="0.3">
      <c r="A16" s="12" t="s">
        <v>12</v>
      </c>
      <c r="B16" s="7">
        <f t="shared" si="0"/>
        <v>510406.49999999994</v>
      </c>
      <c r="C16" s="7">
        <f t="shared" si="1"/>
        <v>507634.60000000003</v>
      </c>
      <c r="D16" s="7">
        <f t="shared" si="2"/>
        <v>99.456923060345062</v>
      </c>
      <c r="E16" s="25">
        <v>29025.3</v>
      </c>
      <c r="F16" s="7">
        <v>29025.200000000001</v>
      </c>
      <c r="G16" s="7">
        <f t="shared" si="3"/>
        <v>99.999655472983918</v>
      </c>
      <c r="H16" s="8">
        <v>47.3</v>
      </c>
      <c r="I16" s="8">
        <v>47.3</v>
      </c>
      <c r="J16" s="7">
        <f t="shared" si="4"/>
        <v>100</v>
      </c>
      <c r="K16" s="21">
        <v>66416.2</v>
      </c>
      <c r="L16" s="7">
        <f>64578.2+0</f>
        <v>64578.2</v>
      </c>
      <c r="M16" s="7">
        <f t="shared" si="5"/>
        <v>97.232602889054178</v>
      </c>
      <c r="N16" s="7">
        <v>0</v>
      </c>
      <c r="O16" s="7">
        <v>0</v>
      </c>
      <c r="P16" s="7">
        <f t="shared" si="6"/>
        <v>0</v>
      </c>
      <c r="Q16" s="7">
        <v>0</v>
      </c>
      <c r="R16" s="7"/>
      <c r="S16" s="7">
        <f t="shared" si="7"/>
        <v>0</v>
      </c>
      <c r="T16" s="21">
        <f>54215.9-2000</f>
        <v>52215.9</v>
      </c>
      <c r="U16" s="7">
        <v>51298</v>
      </c>
      <c r="V16" s="7">
        <f t="shared" si="8"/>
        <v>98.242106331596318</v>
      </c>
      <c r="W16" s="7">
        <v>0</v>
      </c>
      <c r="X16" s="7">
        <v>0</v>
      </c>
      <c r="Y16" s="7">
        <f t="shared" si="9"/>
        <v>0</v>
      </c>
      <c r="Z16" s="21">
        <v>0</v>
      </c>
      <c r="AA16" s="7">
        <v>0</v>
      </c>
      <c r="AB16" s="7">
        <v>0</v>
      </c>
      <c r="AC16" s="7">
        <v>0</v>
      </c>
      <c r="AD16" s="7" t="s">
        <v>7</v>
      </c>
      <c r="AE16" s="7">
        <f t="shared" si="11"/>
        <v>0</v>
      </c>
      <c r="AF16" s="21">
        <v>1200</v>
      </c>
      <c r="AG16" s="7">
        <v>1200</v>
      </c>
      <c r="AH16" s="7">
        <f t="shared" si="12"/>
        <v>100</v>
      </c>
      <c r="AI16" s="21">
        <v>0</v>
      </c>
      <c r="AJ16" s="7">
        <v>0</v>
      </c>
      <c r="AK16" s="7">
        <v>0</v>
      </c>
      <c r="AL16" s="21">
        <v>320.60000000000002</v>
      </c>
      <c r="AM16" s="21">
        <v>320.60000000000002</v>
      </c>
      <c r="AN16" s="7">
        <f t="shared" si="13"/>
        <v>100</v>
      </c>
      <c r="AO16" s="7" t="s">
        <v>7</v>
      </c>
      <c r="AP16" s="7"/>
      <c r="AQ16" s="7">
        <f t="shared" si="14"/>
        <v>0</v>
      </c>
      <c r="AR16" s="21">
        <v>0</v>
      </c>
      <c r="AS16" s="7">
        <v>0</v>
      </c>
      <c r="AT16" s="7">
        <v>0</v>
      </c>
      <c r="AU16" s="21">
        <f>98295.9+4200.1</f>
        <v>102496</v>
      </c>
      <c r="AV16" s="7">
        <v>102496</v>
      </c>
      <c r="AW16" s="7">
        <f t="shared" si="15"/>
        <v>100</v>
      </c>
      <c r="AX16" s="21">
        <v>5586.5</v>
      </c>
      <c r="AY16" s="21">
        <v>5586.5</v>
      </c>
      <c r="AZ16" s="7">
        <f t="shared" si="16"/>
        <v>100</v>
      </c>
      <c r="BA16" s="7" t="s">
        <v>7</v>
      </c>
      <c r="BB16" s="7">
        <v>0</v>
      </c>
      <c r="BC16" s="7">
        <f t="shared" si="17"/>
        <v>0</v>
      </c>
      <c r="BD16" s="21">
        <v>13159.8</v>
      </c>
      <c r="BE16" s="7">
        <f>6747.8+6412</f>
        <v>13159.8</v>
      </c>
      <c r="BF16" s="7">
        <f t="shared" si="18"/>
        <v>100</v>
      </c>
      <c r="BG16" s="7">
        <v>0</v>
      </c>
      <c r="BH16" s="7">
        <v>0</v>
      </c>
      <c r="BI16" s="7">
        <f t="shared" si="19"/>
        <v>0</v>
      </c>
      <c r="BJ16" s="21">
        <v>9900.7999999999993</v>
      </c>
      <c r="BK16" s="7">
        <v>9885.2000000000007</v>
      </c>
      <c r="BL16" s="7">
        <f t="shared" si="20"/>
        <v>99.842436974789933</v>
      </c>
      <c r="BM16" s="21">
        <v>221263</v>
      </c>
      <c r="BN16" s="7">
        <v>221262.9</v>
      </c>
      <c r="BO16" s="7">
        <f t="shared" si="21"/>
        <v>99.999954804915419</v>
      </c>
      <c r="BP16" s="7">
        <f t="shared" si="22"/>
        <v>221263</v>
      </c>
      <c r="BQ16" s="7">
        <f t="shared" si="23"/>
        <v>221263</v>
      </c>
      <c r="BR16" s="7">
        <f t="shared" si="24"/>
        <v>100</v>
      </c>
      <c r="BS16" s="7">
        <v>221263</v>
      </c>
      <c r="BT16" s="7">
        <v>221263</v>
      </c>
      <c r="BU16" s="7">
        <f t="shared" si="32"/>
        <v>100</v>
      </c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 t="s">
        <v>27</v>
      </c>
      <c r="CT16" s="7"/>
      <c r="CU16" s="7"/>
      <c r="CV16" s="7"/>
      <c r="CW16" s="7"/>
      <c r="CX16" s="7"/>
      <c r="CY16" s="7"/>
      <c r="CZ16" s="7">
        <v>0</v>
      </c>
      <c r="DA16" s="7">
        <v>0</v>
      </c>
      <c r="DB16" s="7">
        <v>0</v>
      </c>
      <c r="DC16" s="7" t="s">
        <v>7</v>
      </c>
      <c r="DD16" s="7"/>
      <c r="DE16" s="7">
        <f t="shared" si="25"/>
        <v>0</v>
      </c>
      <c r="DF16" s="21">
        <v>199.1</v>
      </c>
      <c r="DG16" s="21">
        <v>199.1</v>
      </c>
      <c r="DH16" s="7">
        <f t="shared" si="26"/>
        <v>100</v>
      </c>
      <c r="DI16" s="9">
        <v>0</v>
      </c>
      <c r="DJ16" s="16">
        <v>0</v>
      </c>
      <c r="DK16" s="7">
        <v>0</v>
      </c>
      <c r="DL16" s="8">
        <v>8576</v>
      </c>
      <c r="DM16" s="8">
        <v>8575.7999999999993</v>
      </c>
      <c r="DN16" s="7">
        <f t="shared" si="27"/>
        <v>99.997667910447745</v>
      </c>
      <c r="DO16" s="8">
        <v>0</v>
      </c>
      <c r="DP16" s="8">
        <v>0</v>
      </c>
      <c r="DQ16" s="7">
        <v>0</v>
      </c>
      <c r="DR16" s="8"/>
      <c r="DS16" s="8"/>
      <c r="DT16" s="8"/>
      <c r="DU16" s="8"/>
      <c r="DV16" s="8"/>
      <c r="DW16" s="8"/>
    </row>
    <row r="17" spans="1:127" s="2" customFormat="1" ht="31.2" x14ac:dyDescent="0.3">
      <c r="A17" s="12" t="s">
        <v>13</v>
      </c>
      <c r="B17" s="7">
        <f t="shared" si="0"/>
        <v>1343742.4</v>
      </c>
      <c r="C17" s="7">
        <f t="shared" si="1"/>
        <v>1342598.8</v>
      </c>
      <c r="D17" s="7">
        <f t="shared" si="2"/>
        <v>99.914894402379517</v>
      </c>
      <c r="E17" s="25">
        <v>120279.8</v>
      </c>
      <c r="F17" s="7">
        <v>120279.8</v>
      </c>
      <c r="G17" s="7">
        <f t="shared" si="3"/>
        <v>100</v>
      </c>
      <c r="H17" s="8">
        <v>216.5</v>
      </c>
      <c r="I17" s="8">
        <v>216.5</v>
      </c>
      <c r="J17" s="7">
        <f t="shared" si="4"/>
        <v>100</v>
      </c>
      <c r="K17" s="21">
        <f>31026.3-249.5</f>
        <v>30776.799999999999</v>
      </c>
      <c r="L17" s="7">
        <f>30239.2+0</f>
        <v>30239.200000000001</v>
      </c>
      <c r="M17" s="7">
        <f t="shared" si="5"/>
        <v>98.253229705492444</v>
      </c>
      <c r="N17" s="7">
        <v>0</v>
      </c>
      <c r="O17" s="7">
        <v>0</v>
      </c>
      <c r="P17" s="7">
        <f t="shared" si="6"/>
        <v>0</v>
      </c>
      <c r="Q17" s="7">
        <v>0</v>
      </c>
      <c r="R17" s="7"/>
      <c r="S17" s="7">
        <f t="shared" si="7"/>
        <v>0</v>
      </c>
      <c r="T17" s="21">
        <v>19483.599999999999</v>
      </c>
      <c r="U17" s="7">
        <v>19322.599999999999</v>
      </c>
      <c r="V17" s="7">
        <f t="shared" si="8"/>
        <v>99.173664004598734</v>
      </c>
      <c r="W17" s="7">
        <v>0</v>
      </c>
      <c r="X17" s="7">
        <v>0</v>
      </c>
      <c r="Y17" s="7">
        <f t="shared" si="9"/>
        <v>0</v>
      </c>
      <c r="Z17" s="21">
        <v>1823.4</v>
      </c>
      <c r="AA17" s="7">
        <v>1823.3</v>
      </c>
      <c r="AB17" s="7">
        <f t="shared" ref="AB17" si="40">AA17/Z17*100</f>
        <v>99.994515739826696</v>
      </c>
      <c r="AC17" s="7">
        <v>0</v>
      </c>
      <c r="AD17" s="7" t="s">
        <v>7</v>
      </c>
      <c r="AE17" s="7">
        <f t="shared" si="11"/>
        <v>0</v>
      </c>
      <c r="AF17" s="21">
        <v>1500</v>
      </c>
      <c r="AG17" s="7">
        <v>1500</v>
      </c>
      <c r="AH17" s="7">
        <f t="shared" si="12"/>
        <v>100</v>
      </c>
      <c r="AI17" s="21">
        <v>3971.2</v>
      </c>
      <c r="AJ17" s="7">
        <v>3931.5</v>
      </c>
      <c r="AK17" s="7">
        <f>AJ17/AI17*100</f>
        <v>99.000302175664785</v>
      </c>
      <c r="AL17" s="21">
        <v>763.3</v>
      </c>
      <c r="AM17" s="21">
        <v>763.3</v>
      </c>
      <c r="AN17" s="7">
        <f t="shared" si="13"/>
        <v>100</v>
      </c>
      <c r="AO17" s="7" t="s">
        <v>7</v>
      </c>
      <c r="AP17" s="7"/>
      <c r="AQ17" s="7">
        <f t="shared" si="14"/>
        <v>0</v>
      </c>
      <c r="AR17" s="21">
        <v>7347</v>
      </c>
      <c r="AS17" s="21">
        <v>7347</v>
      </c>
      <c r="AT17" s="7">
        <f t="shared" si="28"/>
        <v>100</v>
      </c>
      <c r="AU17" s="21">
        <v>29529.1</v>
      </c>
      <c r="AV17" s="21">
        <v>29529.1</v>
      </c>
      <c r="AW17" s="7">
        <f t="shared" si="15"/>
        <v>100</v>
      </c>
      <c r="AX17" s="21">
        <v>3390.4</v>
      </c>
      <c r="AY17" s="21">
        <v>3390.4</v>
      </c>
      <c r="AZ17" s="7">
        <f t="shared" si="16"/>
        <v>100</v>
      </c>
      <c r="BA17" s="7" t="s">
        <v>7</v>
      </c>
      <c r="BB17" s="7">
        <v>0</v>
      </c>
      <c r="BC17" s="7">
        <f t="shared" si="17"/>
        <v>0</v>
      </c>
      <c r="BD17" s="21">
        <f>48892.5-2000</f>
        <v>46892.5</v>
      </c>
      <c r="BE17" s="7">
        <f>15646.4+16334.1+14908.6</f>
        <v>46889.1</v>
      </c>
      <c r="BF17" s="7">
        <f t="shared" si="18"/>
        <v>99.992749373567207</v>
      </c>
      <c r="BG17" s="7" t="s">
        <v>7</v>
      </c>
      <c r="BH17" s="7" t="s">
        <v>7</v>
      </c>
      <c r="BI17" s="7">
        <f t="shared" si="19"/>
        <v>0</v>
      </c>
      <c r="BJ17" s="21">
        <v>5866.3</v>
      </c>
      <c r="BK17" s="7">
        <v>5866.2</v>
      </c>
      <c r="BL17" s="7">
        <f t="shared" si="20"/>
        <v>99.998295348004689</v>
      </c>
      <c r="BM17" s="21">
        <v>1060812.6000000001</v>
      </c>
      <c r="BN17" s="7">
        <v>1060812.3</v>
      </c>
      <c r="BO17" s="7">
        <f t="shared" si="21"/>
        <v>99.99997171979291</v>
      </c>
      <c r="BP17" s="7">
        <f t="shared" si="22"/>
        <v>1060812.6000000001</v>
      </c>
      <c r="BQ17" s="7">
        <f t="shared" si="23"/>
        <v>1060812.3</v>
      </c>
      <c r="BR17" s="7">
        <f t="shared" si="24"/>
        <v>99.99997171979291</v>
      </c>
      <c r="BS17" s="7">
        <v>445352.9</v>
      </c>
      <c r="BT17" s="7">
        <v>445352.7</v>
      </c>
      <c r="BU17" s="7">
        <f t="shared" si="32"/>
        <v>99.999955091793495</v>
      </c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>
        <v>465871.4</v>
      </c>
      <c r="CR17" s="7">
        <v>465871.4</v>
      </c>
      <c r="CS17" s="7">
        <f t="shared" ref="CS17:CS18" si="41">CR17/CQ17*100</f>
        <v>100</v>
      </c>
      <c r="CT17" s="7">
        <v>149588.29999999999</v>
      </c>
      <c r="CU17" s="7">
        <v>149588.20000000001</v>
      </c>
      <c r="CV17" s="7">
        <f t="shared" ref="CV17:CV18" si="42">CU17/CT17*100</f>
        <v>99.999933149851969</v>
      </c>
      <c r="CW17" s="7"/>
      <c r="CX17" s="7"/>
      <c r="CY17" s="7"/>
      <c r="CZ17" s="7">
        <v>0</v>
      </c>
      <c r="DA17" s="7">
        <v>0</v>
      </c>
      <c r="DB17" s="7">
        <v>0</v>
      </c>
      <c r="DC17" s="7" t="s">
        <v>7</v>
      </c>
      <c r="DD17" s="7"/>
      <c r="DE17" s="7">
        <f t="shared" si="25"/>
        <v>0</v>
      </c>
      <c r="DF17" s="21">
        <f>234.4-25.7</f>
        <v>208.70000000000002</v>
      </c>
      <c r="DG17" s="7">
        <v>208.6</v>
      </c>
      <c r="DH17" s="7">
        <f t="shared" si="26"/>
        <v>99.952084331576415</v>
      </c>
      <c r="DI17" s="9">
        <v>361.4</v>
      </c>
      <c r="DJ17" s="9">
        <v>361.4</v>
      </c>
      <c r="DK17" s="7">
        <f t="shared" si="35"/>
        <v>100</v>
      </c>
      <c r="DL17" s="8">
        <v>4475.2</v>
      </c>
      <c r="DM17" s="8">
        <v>4475.1000000000004</v>
      </c>
      <c r="DN17" s="7">
        <f t="shared" si="27"/>
        <v>99.997765462996085</v>
      </c>
      <c r="DO17" s="8">
        <v>6044.6</v>
      </c>
      <c r="DP17" s="8">
        <v>5643.4</v>
      </c>
      <c r="DQ17" s="7">
        <f t="shared" si="29"/>
        <v>93.362670813618749</v>
      </c>
      <c r="DR17" s="8"/>
      <c r="DS17" s="8"/>
      <c r="DT17" s="8"/>
      <c r="DU17" s="8"/>
      <c r="DV17" s="8"/>
      <c r="DW17" s="8"/>
    </row>
    <row r="18" spans="1:127" s="2" customFormat="1" ht="19.2" customHeight="1" x14ac:dyDescent="0.3">
      <c r="A18" s="12" t="s">
        <v>14</v>
      </c>
      <c r="B18" s="7">
        <f t="shared" si="0"/>
        <v>575986.89999999991</v>
      </c>
      <c r="C18" s="7">
        <f t="shared" si="1"/>
        <v>572694.69999999995</v>
      </c>
      <c r="D18" s="7">
        <f t="shared" si="2"/>
        <v>99.428424500626662</v>
      </c>
      <c r="E18" s="25">
        <v>28594.3</v>
      </c>
      <c r="F18" s="7">
        <v>28580.400000000001</v>
      </c>
      <c r="G18" s="7">
        <f t="shared" si="3"/>
        <v>99.951388913175009</v>
      </c>
      <c r="H18" s="8">
        <v>167.1</v>
      </c>
      <c r="I18" s="8">
        <v>167.1</v>
      </c>
      <c r="J18" s="7">
        <f t="shared" si="4"/>
        <v>100</v>
      </c>
      <c r="K18" s="21">
        <f>1995.9+107</f>
        <v>2102.9</v>
      </c>
      <c r="L18" s="7">
        <v>2102.8000000000002</v>
      </c>
      <c r="M18" s="7">
        <f t="shared" si="5"/>
        <v>99.99524466213326</v>
      </c>
      <c r="N18" s="7">
        <v>0</v>
      </c>
      <c r="O18" s="7">
        <v>0</v>
      </c>
      <c r="P18" s="7">
        <f t="shared" si="6"/>
        <v>0</v>
      </c>
      <c r="Q18" s="7">
        <v>0</v>
      </c>
      <c r="R18" s="7"/>
      <c r="S18" s="7">
        <f t="shared" si="7"/>
        <v>0</v>
      </c>
      <c r="T18" s="21">
        <v>98765.8</v>
      </c>
      <c r="U18" s="7">
        <v>96153.5</v>
      </c>
      <c r="V18" s="7">
        <f t="shared" si="8"/>
        <v>97.355056102416015</v>
      </c>
      <c r="W18" s="7">
        <v>0</v>
      </c>
      <c r="X18" s="7">
        <v>0</v>
      </c>
      <c r="Y18" s="7">
        <f t="shared" si="9"/>
        <v>0</v>
      </c>
      <c r="Z18" s="21">
        <v>0</v>
      </c>
      <c r="AA18" s="7">
        <v>0</v>
      </c>
      <c r="AB18" s="7">
        <v>0</v>
      </c>
      <c r="AC18" s="7">
        <v>0</v>
      </c>
      <c r="AD18" s="7" t="s">
        <v>7</v>
      </c>
      <c r="AE18" s="7">
        <f t="shared" si="11"/>
        <v>0</v>
      </c>
      <c r="AF18" s="21">
        <v>1327.2</v>
      </c>
      <c r="AG18" s="7">
        <v>1327.2</v>
      </c>
      <c r="AH18" s="7">
        <f t="shared" si="12"/>
        <v>100</v>
      </c>
      <c r="AI18" s="21">
        <v>0</v>
      </c>
      <c r="AJ18" s="7">
        <v>0</v>
      </c>
      <c r="AK18" s="7">
        <v>0</v>
      </c>
      <c r="AL18" s="21">
        <v>758.8</v>
      </c>
      <c r="AM18" s="21">
        <v>758.8</v>
      </c>
      <c r="AN18" s="7">
        <f t="shared" si="13"/>
        <v>100</v>
      </c>
      <c r="AO18" s="7" t="s">
        <v>7</v>
      </c>
      <c r="AP18" s="7"/>
      <c r="AQ18" s="7">
        <f t="shared" si="14"/>
        <v>0</v>
      </c>
      <c r="AR18" s="21">
        <v>2633.1</v>
      </c>
      <c r="AS18" s="7">
        <v>2336.1</v>
      </c>
      <c r="AT18" s="7">
        <f t="shared" si="28"/>
        <v>88.720519539706046</v>
      </c>
      <c r="AU18" s="21">
        <v>39410.9</v>
      </c>
      <c r="AV18" s="21">
        <v>39410.9</v>
      </c>
      <c r="AW18" s="7">
        <f t="shared" si="15"/>
        <v>100</v>
      </c>
      <c r="AX18" s="21">
        <v>3097.6</v>
      </c>
      <c r="AY18" s="21">
        <v>3097.6</v>
      </c>
      <c r="AZ18" s="7">
        <f t="shared" si="16"/>
        <v>100</v>
      </c>
      <c r="BA18" s="7" t="s">
        <v>7</v>
      </c>
      <c r="BB18" s="7">
        <v>0</v>
      </c>
      <c r="BC18" s="7">
        <f t="shared" si="17"/>
        <v>0</v>
      </c>
      <c r="BD18" s="21">
        <v>7723.4</v>
      </c>
      <c r="BE18" s="7">
        <f>3747+3976.4</f>
        <v>7723.4</v>
      </c>
      <c r="BF18" s="7">
        <f t="shared" si="18"/>
        <v>100</v>
      </c>
      <c r="BG18" s="7" t="s">
        <v>7</v>
      </c>
      <c r="BH18" s="7" t="s">
        <v>7</v>
      </c>
      <c r="BI18" s="7">
        <f t="shared" si="19"/>
        <v>0</v>
      </c>
      <c r="BJ18" s="21">
        <v>2962.2</v>
      </c>
      <c r="BK18" s="7">
        <v>2962.1</v>
      </c>
      <c r="BL18" s="7">
        <f t="shared" si="20"/>
        <v>99.996624130713656</v>
      </c>
      <c r="BM18" s="21">
        <f>370811.7+4876.6</f>
        <v>375688.3</v>
      </c>
      <c r="BN18" s="7">
        <v>375338.3</v>
      </c>
      <c r="BO18" s="7">
        <f t="shared" si="21"/>
        <v>99.906837663030771</v>
      </c>
      <c r="BP18" s="7">
        <f t="shared" si="22"/>
        <v>375688.3</v>
      </c>
      <c r="BQ18" s="7">
        <f t="shared" si="23"/>
        <v>375338.3</v>
      </c>
      <c r="BR18" s="7">
        <f t="shared" si="24"/>
        <v>99.906837663030771</v>
      </c>
      <c r="BS18" s="7">
        <v>199488.3</v>
      </c>
      <c r="BT18" s="7">
        <v>199138.3</v>
      </c>
      <c r="BU18" s="7">
        <f t="shared" si="32"/>
        <v>99.824551114025226</v>
      </c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>
        <v>81464.2</v>
      </c>
      <c r="CR18" s="7">
        <v>81464.2</v>
      </c>
      <c r="CS18" s="7">
        <f t="shared" si="41"/>
        <v>100</v>
      </c>
      <c r="CT18" s="7">
        <v>94735.8</v>
      </c>
      <c r="CU18" s="7">
        <v>94735.8</v>
      </c>
      <c r="CV18" s="7">
        <f t="shared" si="42"/>
        <v>100</v>
      </c>
      <c r="CW18" s="7"/>
      <c r="CX18" s="7"/>
      <c r="CY18" s="7"/>
      <c r="CZ18" s="7">
        <v>0</v>
      </c>
      <c r="DA18" s="7">
        <v>0</v>
      </c>
      <c r="DB18" s="7">
        <v>0</v>
      </c>
      <c r="DC18" s="7" t="s">
        <v>7</v>
      </c>
      <c r="DD18" s="7"/>
      <c r="DE18" s="7">
        <f t="shared" si="25"/>
        <v>0</v>
      </c>
      <c r="DF18" s="21">
        <v>952</v>
      </c>
      <c r="DG18" s="7">
        <f>584.2+367.8</f>
        <v>952</v>
      </c>
      <c r="DH18" s="7">
        <f t="shared" si="26"/>
        <v>100</v>
      </c>
      <c r="DI18" s="9">
        <v>0</v>
      </c>
      <c r="DJ18" s="16">
        <v>0</v>
      </c>
      <c r="DK18" s="7">
        <v>0</v>
      </c>
      <c r="DL18" s="8">
        <v>9362.6</v>
      </c>
      <c r="DM18" s="8">
        <v>9343.7999999999993</v>
      </c>
      <c r="DN18" s="7">
        <f t="shared" si="27"/>
        <v>99.799201076624001</v>
      </c>
      <c r="DO18" s="8">
        <v>2440.6999999999998</v>
      </c>
      <c r="DP18" s="8">
        <v>2440.6999999999998</v>
      </c>
      <c r="DQ18" s="7">
        <f t="shared" si="29"/>
        <v>100</v>
      </c>
      <c r="DR18" s="8"/>
      <c r="DS18" s="8"/>
      <c r="DT18" s="8"/>
      <c r="DU18" s="8"/>
      <c r="DV18" s="8"/>
      <c r="DW18" s="8"/>
    </row>
    <row r="19" spans="1:127" s="2" customFormat="1" ht="18" customHeight="1" x14ac:dyDescent="0.3">
      <c r="A19" s="12" t="s">
        <v>15</v>
      </c>
      <c r="B19" s="7">
        <f t="shared" si="0"/>
        <v>1135696.3</v>
      </c>
      <c r="C19" s="7">
        <f t="shared" si="1"/>
        <v>1134015.2</v>
      </c>
      <c r="D19" s="7">
        <f t="shared" si="2"/>
        <v>99.851976272177694</v>
      </c>
      <c r="E19" s="25">
        <v>176037.5</v>
      </c>
      <c r="F19" s="7">
        <v>176031.8</v>
      </c>
      <c r="G19" s="7">
        <f t="shared" si="3"/>
        <v>99.996762053539726</v>
      </c>
      <c r="H19" s="8">
        <v>232.5</v>
      </c>
      <c r="I19" s="8">
        <v>232.5</v>
      </c>
      <c r="J19" s="7">
        <f t="shared" si="4"/>
        <v>100</v>
      </c>
      <c r="K19" s="21">
        <f>2175.7+142.5</f>
        <v>2318.1999999999998</v>
      </c>
      <c r="L19" s="7">
        <f>857.7+1460.5</f>
        <v>2318.1999999999998</v>
      </c>
      <c r="M19" s="7">
        <f t="shared" si="5"/>
        <v>100</v>
      </c>
      <c r="N19" s="7">
        <v>0</v>
      </c>
      <c r="O19" s="7">
        <v>0</v>
      </c>
      <c r="P19" s="7">
        <f t="shared" si="6"/>
        <v>0</v>
      </c>
      <c r="Q19" s="7">
        <v>0</v>
      </c>
      <c r="R19" s="7"/>
      <c r="S19" s="7">
        <f t="shared" si="7"/>
        <v>0</v>
      </c>
      <c r="T19" s="21">
        <v>32993.9</v>
      </c>
      <c r="U19" s="7">
        <v>32993.699999999997</v>
      </c>
      <c r="V19" s="7">
        <f t="shared" si="8"/>
        <v>99.999393827343823</v>
      </c>
      <c r="W19" s="7">
        <v>0</v>
      </c>
      <c r="X19" s="7">
        <v>0</v>
      </c>
      <c r="Y19" s="7">
        <f t="shared" si="9"/>
        <v>0</v>
      </c>
      <c r="Z19" s="21">
        <v>0</v>
      </c>
      <c r="AA19" s="7">
        <v>0</v>
      </c>
      <c r="AB19" s="7">
        <v>0</v>
      </c>
      <c r="AC19" s="7">
        <v>0</v>
      </c>
      <c r="AD19" s="7" t="s">
        <v>7</v>
      </c>
      <c r="AE19" s="7">
        <f t="shared" si="11"/>
        <v>0</v>
      </c>
      <c r="AF19" s="21">
        <v>10309.6</v>
      </c>
      <c r="AG19" s="7">
        <f>2700+327.2+6627.5</f>
        <v>9654.7000000000007</v>
      </c>
      <c r="AH19" s="7">
        <f t="shared" si="12"/>
        <v>93.647668192752391</v>
      </c>
      <c r="AI19" s="21">
        <v>0</v>
      </c>
      <c r="AJ19" s="7">
        <v>0</v>
      </c>
      <c r="AK19" s="7">
        <v>0</v>
      </c>
      <c r="AL19" s="21">
        <v>4275.7</v>
      </c>
      <c r="AM19" s="21">
        <v>4275.7</v>
      </c>
      <c r="AN19" s="7">
        <f t="shared" si="13"/>
        <v>100</v>
      </c>
      <c r="AO19" s="7" t="s">
        <v>7</v>
      </c>
      <c r="AP19" s="7"/>
      <c r="AQ19" s="7">
        <f t="shared" si="14"/>
        <v>0</v>
      </c>
      <c r="AR19" s="21">
        <v>2342.5</v>
      </c>
      <c r="AS19" s="7">
        <v>2261.1999999999998</v>
      </c>
      <c r="AT19" s="7">
        <f t="shared" si="28"/>
        <v>96.529348986125925</v>
      </c>
      <c r="AU19" s="21">
        <v>41953.8</v>
      </c>
      <c r="AV19" s="21">
        <v>41953.8</v>
      </c>
      <c r="AW19" s="7">
        <f t="shared" si="15"/>
        <v>100</v>
      </c>
      <c r="AX19" s="21">
        <v>4570.8999999999996</v>
      </c>
      <c r="AY19" s="21">
        <v>4570.8999999999996</v>
      </c>
      <c r="AZ19" s="7">
        <f t="shared" si="16"/>
        <v>100</v>
      </c>
      <c r="BA19" s="7" t="s">
        <v>7</v>
      </c>
      <c r="BB19" s="7">
        <v>0</v>
      </c>
      <c r="BC19" s="7">
        <f t="shared" si="17"/>
        <v>0</v>
      </c>
      <c r="BD19" s="21">
        <f>30863.4-192.7</f>
        <v>30670.7</v>
      </c>
      <c r="BE19" s="7">
        <f>13587.8+8803.7+8279.1</f>
        <v>30670.6</v>
      </c>
      <c r="BF19" s="7">
        <f t="shared" si="18"/>
        <v>99.999673955925346</v>
      </c>
      <c r="BG19" s="7" t="s">
        <v>7</v>
      </c>
      <c r="BH19" s="7" t="s">
        <v>7</v>
      </c>
      <c r="BI19" s="7">
        <f t="shared" si="19"/>
        <v>0</v>
      </c>
      <c r="BJ19" s="21">
        <v>5904.8</v>
      </c>
      <c r="BK19" s="21">
        <v>5904.8</v>
      </c>
      <c r="BL19" s="7">
        <f t="shared" si="20"/>
        <v>100</v>
      </c>
      <c r="BM19" s="21">
        <v>799627.1</v>
      </c>
      <c r="BN19" s="7">
        <v>799627</v>
      </c>
      <c r="BO19" s="7">
        <f t="shared" si="21"/>
        <v>99.999987494170725</v>
      </c>
      <c r="BP19" s="7">
        <f t="shared" si="22"/>
        <v>799627.1</v>
      </c>
      <c r="BQ19" s="7">
        <f t="shared" si="23"/>
        <v>799627</v>
      </c>
      <c r="BR19" s="7">
        <f t="shared" si="24"/>
        <v>99.999987494170725</v>
      </c>
      <c r="BS19" s="7">
        <v>799627.1</v>
      </c>
      <c r="BT19" s="7">
        <v>799627</v>
      </c>
      <c r="BU19" s="7">
        <f t="shared" si="32"/>
        <v>99.999987494170725</v>
      </c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>
        <v>0</v>
      </c>
      <c r="DA19" s="7">
        <v>0</v>
      </c>
      <c r="DB19" s="7">
        <v>0</v>
      </c>
      <c r="DC19" s="7" t="s">
        <v>7</v>
      </c>
      <c r="DD19" s="7"/>
      <c r="DE19" s="7">
        <f t="shared" si="25"/>
        <v>0</v>
      </c>
      <c r="DF19" s="21">
        <v>358.2</v>
      </c>
      <c r="DG19" s="7">
        <v>358.2</v>
      </c>
      <c r="DH19" s="7">
        <f t="shared" si="26"/>
        <v>100</v>
      </c>
      <c r="DI19" s="9">
        <v>0</v>
      </c>
      <c r="DJ19" s="16">
        <v>0</v>
      </c>
      <c r="DK19" s="7">
        <v>0</v>
      </c>
      <c r="DL19" s="8">
        <v>11777.6</v>
      </c>
      <c r="DM19" s="8">
        <v>11519.6</v>
      </c>
      <c r="DN19" s="7">
        <f t="shared" si="27"/>
        <v>97.809400896617305</v>
      </c>
      <c r="DO19" s="8">
        <v>12323.3</v>
      </c>
      <c r="DP19" s="8">
        <v>11642.5</v>
      </c>
      <c r="DQ19" s="7">
        <f t="shared" si="29"/>
        <v>94.475505749271719</v>
      </c>
      <c r="DR19" s="8"/>
      <c r="DS19" s="8"/>
      <c r="DT19" s="8"/>
      <c r="DU19" s="8"/>
      <c r="DV19" s="8"/>
      <c r="DW19" s="8"/>
    </row>
    <row r="20" spans="1:127" s="2" customFormat="1" ht="19.8" customHeight="1" x14ac:dyDescent="0.3">
      <c r="A20" s="12" t="s">
        <v>16</v>
      </c>
      <c r="B20" s="7">
        <f t="shared" si="0"/>
        <v>175252.2</v>
      </c>
      <c r="C20" s="7">
        <f t="shared" si="1"/>
        <v>175249.40000000002</v>
      </c>
      <c r="D20" s="7">
        <f t="shared" si="2"/>
        <v>99.998402302510343</v>
      </c>
      <c r="E20" s="25">
        <v>0</v>
      </c>
      <c r="F20" s="7">
        <v>0</v>
      </c>
      <c r="G20" s="7">
        <v>0</v>
      </c>
      <c r="H20" s="8">
        <v>24.7</v>
      </c>
      <c r="I20" s="8">
        <v>24.7</v>
      </c>
      <c r="J20" s="7">
        <f t="shared" si="4"/>
        <v>100</v>
      </c>
      <c r="K20" s="21">
        <v>6440.2</v>
      </c>
      <c r="L20" s="7">
        <f>5730.2+709.9</f>
        <v>6440.0999999999995</v>
      </c>
      <c r="M20" s="7">
        <f t="shared" si="5"/>
        <v>99.998447253190889</v>
      </c>
      <c r="N20" s="7">
        <v>0</v>
      </c>
      <c r="O20" s="7">
        <v>0</v>
      </c>
      <c r="P20" s="7">
        <f t="shared" si="6"/>
        <v>0</v>
      </c>
      <c r="Q20" s="7">
        <v>0</v>
      </c>
      <c r="R20" s="7"/>
      <c r="S20" s="7">
        <f t="shared" si="7"/>
        <v>0</v>
      </c>
      <c r="T20" s="21">
        <v>97322.9</v>
      </c>
      <c r="U20" s="7">
        <v>97320.3</v>
      </c>
      <c r="V20" s="7">
        <f t="shared" si="8"/>
        <v>99.997328480758398</v>
      </c>
      <c r="W20" s="7">
        <v>0</v>
      </c>
      <c r="X20" s="7">
        <v>0</v>
      </c>
      <c r="Y20" s="7">
        <f t="shared" si="9"/>
        <v>0</v>
      </c>
      <c r="Z20" s="21">
        <v>0</v>
      </c>
      <c r="AA20" s="7">
        <v>0</v>
      </c>
      <c r="AB20" s="7">
        <v>0</v>
      </c>
      <c r="AC20" s="7">
        <v>0</v>
      </c>
      <c r="AD20" s="7" t="s">
        <v>7</v>
      </c>
      <c r="AE20" s="7">
        <f t="shared" si="11"/>
        <v>0</v>
      </c>
      <c r="AF20" s="21">
        <v>1500</v>
      </c>
      <c r="AG20" s="7">
        <v>1500</v>
      </c>
      <c r="AH20" s="7">
        <f t="shared" si="12"/>
        <v>100</v>
      </c>
      <c r="AI20" s="21">
        <v>0</v>
      </c>
      <c r="AJ20" s="7">
        <v>0</v>
      </c>
      <c r="AK20" s="7">
        <v>0</v>
      </c>
      <c r="AL20" s="21">
        <v>125.4</v>
      </c>
      <c r="AM20" s="21">
        <v>125.4</v>
      </c>
      <c r="AN20" s="7">
        <f t="shared" si="13"/>
        <v>100</v>
      </c>
      <c r="AO20" s="7" t="s">
        <v>7</v>
      </c>
      <c r="AP20" s="7"/>
      <c r="AQ20" s="7">
        <f t="shared" si="14"/>
        <v>0</v>
      </c>
      <c r="AR20" s="21">
        <v>0</v>
      </c>
      <c r="AS20" s="7">
        <v>0</v>
      </c>
      <c r="AT20" s="7">
        <v>0</v>
      </c>
      <c r="AU20" s="21">
        <v>31485.200000000001</v>
      </c>
      <c r="AV20" s="21">
        <v>31485.200000000001</v>
      </c>
      <c r="AW20" s="7">
        <f t="shared" si="15"/>
        <v>100</v>
      </c>
      <c r="AX20" s="21">
        <v>2788.3</v>
      </c>
      <c r="AY20" s="21">
        <v>2788.3</v>
      </c>
      <c r="AZ20" s="7">
        <f t="shared" si="16"/>
        <v>100</v>
      </c>
      <c r="BA20" s="7" t="s">
        <v>7</v>
      </c>
      <c r="BB20" s="7">
        <v>0</v>
      </c>
      <c r="BC20" s="7">
        <f t="shared" si="17"/>
        <v>0</v>
      </c>
      <c r="BD20" s="21">
        <v>14349.7</v>
      </c>
      <c r="BE20" s="7">
        <v>14349.6</v>
      </c>
      <c r="BF20" s="7">
        <f t="shared" si="18"/>
        <v>99.999303121319599</v>
      </c>
      <c r="BG20" s="7" t="s">
        <v>7</v>
      </c>
      <c r="BH20" s="7" t="s">
        <v>7</v>
      </c>
      <c r="BI20" s="7">
        <f t="shared" si="19"/>
        <v>0</v>
      </c>
      <c r="BJ20" s="21">
        <v>648</v>
      </c>
      <c r="BK20" s="21">
        <v>648</v>
      </c>
      <c r="BL20" s="7">
        <f t="shared" si="20"/>
        <v>100</v>
      </c>
      <c r="BM20" s="21">
        <v>17655.7</v>
      </c>
      <c r="BN20" s="21">
        <v>17655.7</v>
      </c>
      <c r="BO20" s="7">
        <v>0</v>
      </c>
      <c r="BP20" s="7">
        <f t="shared" si="22"/>
        <v>17655.7</v>
      </c>
      <c r="BQ20" s="7">
        <f t="shared" si="23"/>
        <v>17655.7</v>
      </c>
      <c r="BR20" s="7">
        <f t="shared" si="24"/>
        <v>100</v>
      </c>
      <c r="BS20" s="7">
        <v>17655.7</v>
      </c>
      <c r="BT20" s="7">
        <v>17655.7</v>
      </c>
      <c r="BU20" s="7">
        <f t="shared" si="32"/>
        <v>100</v>
      </c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>
        <v>332.4</v>
      </c>
      <c r="DA20" s="7">
        <v>332.4</v>
      </c>
      <c r="DB20" s="7">
        <f t="shared" si="31"/>
        <v>100</v>
      </c>
      <c r="DC20" s="7" t="s">
        <v>7</v>
      </c>
      <c r="DD20" s="7"/>
      <c r="DE20" s="7">
        <f t="shared" si="25"/>
        <v>0</v>
      </c>
      <c r="DF20" s="21">
        <v>79.7</v>
      </c>
      <c r="DG20" s="7">
        <v>79.7</v>
      </c>
      <c r="DH20" s="7">
        <f t="shared" si="26"/>
        <v>100</v>
      </c>
      <c r="DI20" s="9">
        <v>0</v>
      </c>
      <c r="DJ20" s="16">
        <v>0</v>
      </c>
      <c r="DK20" s="7">
        <v>0</v>
      </c>
      <c r="DL20" s="8">
        <v>2500</v>
      </c>
      <c r="DM20" s="8">
        <v>2500</v>
      </c>
      <c r="DN20" s="7">
        <f t="shared" si="27"/>
        <v>100</v>
      </c>
      <c r="DO20" s="8">
        <v>0</v>
      </c>
      <c r="DP20" s="8">
        <v>0</v>
      </c>
      <c r="DQ20" s="7">
        <v>0</v>
      </c>
      <c r="DR20" s="8"/>
      <c r="DS20" s="8"/>
      <c r="DT20" s="8"/>
      <c r="DU20" s="8"/>
      <c r="DV20" s="8"/>
      <c r="DW20" s="8"/>
    </row>
    <row r="21" spans="1:127" s="2" customFormat="1" ht="15.6" x14ac:dyDescent="0.3">
      <c r="A21" s="12" t="s">
        <v>74</v>
      </c>
      <c r="B21" s="7">
        <f t="shared" si="0"/>
        <v>549156.30000000005</v>
      </c>
      <c r="C21" s="7">
        <f t="shared" si="1"/>
        <v>549155.80000000016</v>
      </c>
      <c r="D21" s="7">
        <f t="shared" si="2"/>
        <v>99.999908951240315</v>
      </c>
      <c r="E21" s="25">
        <v>558.70000000000005</v>
      </c>
      <c r="F21" s="7">
        <v>558.70000000000005</v>
      </c>
      <c r="G21" s="7">
        <f t="shared" si="3"/>
        <v>100</v>
      </c>
      <c r="H21" s="8">
        <v>228.3</v>
      </c>
      <c r="I21" s="8">
        <v>228.3</v>
      </c>
      <c r="J21" s="7">
        <f t="shared" si="4"/>
        <v>100</v>
      </c>
      <c r="K21" s="21">
        <v>5067.8</v>
      </c>
      <c r="L21" s="7">
        <f>4405.5+662.3</f>
        <v>5067.8</v>
      </c>
      <c r="M21" s="7">
        <f t="shared" si="5"/>
        <v>100</v>
      </c>
      <c r="N21" s="7">
        <v>2606.3000000000002</v>
      </c>
      <c r="O21" s="7">
        <v>2606.3000000000002</v>
      </c>
      <c r="P21" s="7">
        <f t="shared" ref="P21" si="43">O21/N21*100</f>
        <v>100</v>
      </c>
      <c r="Q21" s="7">
        <v>0</v>
      </c>
      <c r="R21" s="7"/>
      <c r="S21" s="7">
        <f t="shared" si="7"/>
        <v>0</v>
      </c>
      <c r="T21" s="21">
        <f>40320.8+5859.8</f>
        <v>46180.600000000006</v>
      </c>
      <c r="U21" s="7">
        <v>46180.4</v>
      </c>
      <c r="V21" s="7">
        <f t="shared" si="8"/>
        <v>99.999566917710027</v>
      </c>
      <c r="W21" s="7">
        <v>0</v>
      </c>
      <c r="X21" s="7">
        <v>0</v>
      </c>
      <c r="Y21" s="7">
        <f t="shared" si="9"/>
        <v>0</v>
      </c>
      <c r="Z21" s="21">
        <v>0</v>
      </c>
      <c r="AA21" s="7">
        <v>0</v>
      </c>
      <c r="AB21" s="7">
        <v>0</v>
      </c>
      <c r="AC21" s="7">
        <v>0</v>
      </c>
      <c r="AD21" s="7">
        <v>0</v>
      </c>
      <c r="AE21" s="7">
        <f t="shared" si="11"/>
        <v>0</v>
      </c>
      <c r="AF21" s="21">
        <v>2400</v>
      </c>
      <c r="AG21" s="7">
        <v>2400</v>
      </c>
      <c r="AH21" s="7">
        <f t="shared" si="12"/>
        <v>100</v>
      </c>
      <c r="AI21" s="21">
        <v>8652.5</v>
      </c>
      <c r="AJ21" s="21">
        <v>8652.5</v>
      </c>
      <c r="AK21" s="7">
        <f>AJ21/AI21*100</f>
        <v>100</v>
      </c>
      <c r="AL21" s="21">
        <v>914.2</v>
      </c>
      <c r="AM21" s="21">
        <v>914.2</v>
      </c>
      <c r="AN21" s="7">
        <f t="shared" si="13"/>
        <v>100</v>
      </c>
      <c r="AO21" s="7" t="s">
        <v>7</v>
      </c>
      <c r="AP21" s="7"/>
      <c r="AQ21" s="7">
        <f t="shared" si="14"/>
        <v>0</v>
      </c>
      <c r="AR21" s="21">
        <v>0</v>
      </c>
      <c r="AS21" s="7">
        <v>0</v>
      </c>
      <c r="AT21" s="7">
        <v>0</v>
      </c>
      <c r="AU21" s="21">
        <v>40630.800000000003</v>
      </c>
      <c r="AV21" s="21">
        <v>40630.800000000003</v>
      </c>
      <c r="AW21" s="7">
        <f t="shared" si="15"/>
        <v>100</v>
      </c>
      <c r="AX21" s="21">
        <v>9278.9</v>
      </c>
      <c r="AY21" s="21">
        <v>9278.9</v>
      </c>
      <c r="AZ21" s="7">
        <f t="shared" si="16"/>
        <v>100</v>
      </c>
      <c r="BA21" s="7" t="s">
        <v>7</v>
      </c>
      <c r="BB21" s="7">
        <v>0</v>
      </c>
      <c r="BC21" s="7">
        <f t="shared" si="17"/>
        <v>0</v>
      </c>
      <c r="BD21" s="21">
        <f>34229.1-31.4</f>
        <v>34197.699999999997</v>
      </c>
      <c r="BE21" s="7">
        <f>7823.2+20718.5+5655.9</f>
        <v>34197.599999999999</v>
      </c>
      <c r="BF21" s="7">
        <f t="shared" si="18"/>
        <v>99.999707582673693</v>
      </c>
      <c r="BG21" s="7" t="s">
        <v>7</v>
      </c>
      <c r="BH21" s="7" t="s">
        <v>7</v>
      </c>
      <c r="BI21" s="7">
        <f t="shared" si="19"/>
        <v>0</v>
      </c>
      <c r="BJ21" s="21">
        <v>7039.2</v>
      </c>
      <c r="BK21" s="21">
        <v>7039.2</v>
      </c>
      <c r="BL21" s="7">
        <f t="shared" si="20"/>
        <v>100</v>
      </c>
      <c r="BM21" s="21">
        <v>376878.6</v>
      </c>
      <c r="BN21" s="21">
        <v>376878.6</v>
      </c>
      <c r="BO21" s="7">
        <f t="shared" si="21"/>
        <v>100</v>
      </c>
      <c r="BP21" s="7">
        <f t="shared" si="22"/>
        <v>376878.7</v>
      </c>
      <c r="BQ21" s="7">
        <f t="shared" si="23"/>
        <v>376878.7</v>
      </c>
      <c r="BR21" s="7">
        <f t="shared" si="24"/>
        <v>100</v>
      </c>
      <c r="BS21" s="7">
        <v>324904.90000000002</v>
      </c>
      <c r="BT21" s="7">
        <v>324904.90000000002</v>
      </c>
      <c r="BU21" s="7">
        <f t="shared" si="32"/>
        <v>100</v>
      </c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>
        <f>30974.3+20999.5</f>
        <v>51973.8</v>
      </c>
      <c r="CX21" s="7">
        <f>30974.3+20999.5</f>
        <v>51973.8</v>
      </c>
      <c r="CY21" s="7">
        <f t="shared" ref="CY21" si="44">CX21/CW21*100</f>
        <v>100</v>
      </c>
      <c r="CZ21" s="7">
        <v>57.5</v>
      </c>
      <c r="DA21" s="7">
        <v>57.5</v>
      </c>
      <c r="DB21" s="7">
        <f t="shared" si="31"/>
        <v>100</v>
      </c>
      <c r="DC21" s="7" t="s">
        <v>7</v>
      </c>
      <c r="DD21" s="7">
        <v>0</v>
      </c>
      <c r="DE21" s="7">
        <f t="shared" si="25"/>
        <v>0</v>
      </c>
      <c r="DF21" s="21">
        <v>240.8</v>
      </c>
      <c r="DG21" s="7">
        <v>240.8</v>
      </c>
      <c r="DH21" s="7">
        <f t="shared" si="26"/>
        <v>100</v>
      </c>
      <c r="DI21" s="9">
        <v>0</v>
      </c>
      <c r="DJ21" s="16">
        <v>0</v>
      </c>
      <c r="DK21" s="7">
        <v>0</v>
      </c>
      <c r="DL21" s="8">
        <v>10000</v>
      </c>
      <c r="DM21" s="8">
        <v>9999.9</v>
      </c>
      <c r="DN21" s="7">
        <f t="shared" si="27"/>
        <v>99.998999999999995</v>
      </c>
      <c r="DO21" s="8">
        <v>4224.3999999999996</v>
      </c>
      <c r="DP21" s="8">
        <v>4224.3</v>
      </c>
      <c r="DQ21" s="7">
        <f t="shared" si="29"/>
        <v>99.997632799924261</v>
      </c>
      <c r="DR21" s="8"/>
      <c r="DS21" s="8"/>
      <c r="DT21" s="8"/>
      <c r="DU21" s="8"/>
      <c r="DV21" s="8"/>
      <c r="DW21" s="8"/>
    </row>
    <row r="22" spans="1:127" s="2" customFormat="1" ht="18" customHeight="1" x14ac:dyDescent="0.3">
      <c r="A22" s="12" t="s">
        <v>17</v>
      </c>
      <c r="B22" s="7">
        <f t="shared" si="0"/>
        <v>1305896.8999999999</v>
      </c>
      <c r="C22" s="7">
        <f t="shared" si="1"/>
        <v>1222381.0999999996</v>
      </c>
      <c r="D22" s="7">
        <f t="shared" si="2"/>
        <v>93.60471718709185</v>
      </c>
      <c r="E22" s="25">
        <v>4062.3</v>
      </c>
      <c r="F22" s="25">
        <v>4062.3</v>
      </c>
      <c r="G22" s="7">
        <f t="shared" si="3"/>
        <v>100</v>
      </c>
      <c r="H22" s="8">
        <v>462.9</v>
      </c>
      <c r="I22" s="8">
        <v>462.9</v>
      </c>
      <c r="J22" s="7">
        <f t="shared" si="4"/>
        <v>100</v>
      </c>
      <c r="K22" s="21">
        <f>14055-1837.8</f>
        <v>12217.2</v>
      </c>
      <c r="L22" s="7">
        <f>12166</f>
        <v>12166</v>
      </c>
      <c r="M22" s="7">
        <f t="shared" si="5"/>
        <v>99.580918704776863</v>
      </c>
      <c r="N22" s="7">
        <v>0</v>
      </c>
      <c r="O22" s="7">
        <v>0</v>
      </c>
      <c r="P22" s="7">
        <f t="shared" si="6"/>
        <v>0</v>
      </c>
      <c r="Q22" s="7" t="s">
        <v>7</v>
      </c>
      <c r="R22" s="7"/>
      <c r="S22" s="7">
        <f t="shared" si="7"/>
        <v>0</v>
      </c>
      <c r="T22" s="21">
        <f>80550-1200</f>
        <v>79350</v>
      </c>
      <c r="U22" s="7">
        <v>79312.899999999994</v>
      </c>
      <c r="V22" s="7">
        <f t="shared" si="8"/>
        <v>99.953245116572148</v>
      </c>
      <c r="W22" s="7">
        <v>0</v>
      </c>
      <c r="X22" s="7">
        <v>0</v>
      </c>
      <c r="Y22" s="7">
        <f t="shared" si="9"/>
        <v>0</v>
      </c>
      <c r="Z22" s="21">
        <v>0</v>
      </c>
      <c r="AA22" s="7">
        <v>0</v>
      </c>
      <c r="AB22" s="7">
        <v>0</v>
      </c>
      <c r="AC22" s="7">
        <v>0</v>
      </c>
      <c r="AD22" s="7" t="s">
        <v>7</v>
      </c>
      <c r="AE22" s="7">
        <f t="shared" si="11"/>
        <v>0</v>
      </c>
      <c r="AF22" s="21">
        <v>13930</v>
      </c>
      <c r="AG22" s="7">
        <v>13930</v>
      </c>
      <c r="AH22" s="7">
        <f t="shared" si="12"/>
        <v>100</v>
      </c>
      <c r="AI22" s="21">
        <v>0</v>
      </c>
      <c r="AJ22" s="7">
        <v>0</v>
      </c>
      <c r="AK22" s="7">
        <v>0</v>
      </c>
      <c r="AL22" s="21">
        <v>3871.8</v>
      </c>
      <c r="AM22" s="7">
        <v>3512.2</v>
      </c>
      <c r="AN22" s="7">
        <f t="shared" si="13"/>
        <v>90.712330182344118</v>
      </c>
      <c r="AO22" s="7" t="s">
        <v>7</v>
      </c>
      <c r="AP22" s="7"/>
      <c r="AQ22" s="7">
        <f t="shared" si="14"/>
        <v>0</v>
      </c>
      <c r="AR22" s="21">
        <v>2246</v>
      </c>
      <c r="AS22" s="21">
        <v>2246</v>
      </c>
      <c r="AT22" s="7">
        <f t="shared" si="28"/>
        <v>100</v>
      </c>
      <c r="AU22" s="21">
        <f>27493.5+15536</f>
        <v>43029.5</v>
      </c>
      <c r="AV22" s="7">
        <v>43029.5</v>
      </c>
      <c r="AW22" s="7">
        <f t="shared" si="15"/>
        <v>100</v>
      </c>
      <c r="AX22" s="21">
        <v>2603.6999999999998</v>
      </c>
      <c r="AY22" s="21">
        <v>2603.6999999999998</v>
      </c>
      <c r="AZ22" s="7">
        <f t="shared" si="16"/>
        <v>100</v>
      </c>
      <c r="BA22" s="7" t="s">
        <v>7</v>
      </c>
      <c r="BB22" s="7">
        <v>0</v>
      </c>
      <c r="BC22" s="7">
        <f t="shared" si="17"/>
        <v>0</v>
      </c>
      <c r="BD22" s="21">
        <v>69313.3</v>
      </c>
      <c r="BE22" s="7">
        <f>15648.1+37261.5+16371.2</f>
        <v>69280.800000000003</v>
      </c>
      <c r="BF22" s="7">
        <f t="shared" si="18"/>
        <v>99.953111451914708</v>
      </c>
      <c r="BG22" s="7" t="s">
        <v>7</v>
      </c>
      <c r="BH22" s="7" t="s">
        <v>7</v>
      </c>
      <c r="BI22" s="7">
        <f t="shared" si="19"/>
        <v>0</v>
      </c>
      <c r="BJ22" s="21">
        <v>4689.7</v>
      </c>
      <c r="BK22" s="7">
        <v>4531.1000000000004</v>
      </c>
      <c r="BL22" s="7">
        <f t="shared" si="20"/>
        <v>96.618120562082879</v>
      </c>
      <c r="BM22" s="21">
        <f>1035732.3-766.6</f>
        <v>1034965.7000000001</v>
      </c>
      <c r="BN22" s="7">
        <v>953595.2</v>
      </c>
      <c r="BO22" s="7">
        <f t="shared" si="21"/>
        <v>92.137855389796968</v>
      </c>
      <c r="BP22" s="7">
        <f t="shared" si="22"/>
        <v>1034965.7000000001</v>
      </c>
      <c r="BQ22" s="7">
        <f t="shared" si="23"/>
        <v>953595.2</v>
      </c>
      <c r="BR22" s="7">
        <f t="shared" si="24"/>
        <v>92.137855389796968</v>
      </c>
      <c r="BS22" s="7">
        <v>849853.8</v>
      </c>
      <c r="BT22" s="7">
        <v>849851.2</v>
      </c>
      <c r="BU22" s="7">
        <f t="shared" si="32"/>
        <v>99.999694065026233</v>
      </c>
      <c r="BV22" s="7">
        <v>142393.79999999999</v>
      </c>
      <c r="BW22" s="7">
        <v>61025.9</v>
      </c>
      <c r="BX22" s="7">
        <f>BW22/BV22*100</f>
        <v>42.857132824603319</v>
      </c>
      <c r="BY22" s="7">
        <v>42718.1</v>
      </c>
      <c r="BZ22" s="7">
        <v>42718.1</v>
      </c>
      <c r="CA22" s="7">
        <f>BZ22/BY22*100</f>
        <v>100</v>
      </c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>
        <v>0</v>
      </c>
      <c r="DA22" s="7">
        <v>0</v>
      </c>
      <c r="DB22" s="7">
        <v>0</v>
      </c>
      <c r="DC22" s="7" t="s">
        <v>7</v>
      </c>
      <c r="DD22" s="7"/>
      <c r="DE22" s="7">
        <f t="shared" si="25"/>
        <v>0</v>
      </c>
      <c r="DF22" s="21">
        <v>1484.9</v>
      </c>
      <c r="DG22" s="21">
        <v>1484.9</v>
      </c>
      <c r="DH22" s="7">
        <f t="shared" si="26"/>
        <v>100</v>
      </c>
      <c r="DI22" s="9">
        <v>1138.5</v>
      </c>
      <c r="DJ22" s="9">
        <v>1138.5</v>
      </c>
      <c r="DK22" s="7">
        <f t="shared" ref="DK22" si="45">DJ22/DI22*100</f>
        <v>100</v>
      </c>
      <c r="DL22" s="8">
        <v>18801.900000000001</v>
      </c>
      <c r="DM22" s="8">
        <v>17692.400000000001</v>
      </c>
      <c r="DN22" s="7">
        <f t="shared" si="27"/>
        <v>94.099000632914766</v>
      </c>
      <c r="DO22" s="8">
        <v>13729.5</v>
      </c>
      <c r="DP22" s="8">
        <v>13332.7</v>
      </c>
      <c r="DQ22" s="7">
        <f t="shared" si="29"/>
        <v>97.109872901416665</v>
      </c>
      <c r="DR22" s="8"/>
      <c r="DS22" s="8"/>
      <c r="DT22" s="8"/>
      <c r="DU22" s="8"/>
      <c r="DV22" s="8"/>
      <c r="DW22" s="8"/>
    </row>
    <row r="23" spans="1:127" s="2" customFormat="1" ht="18" customHeight="1" x14ac:dyDescent="0.3">
      <c r="A23" s="12" t="s">
        <v>18</v>
      </c>
      <c r="B23" s="7">
        <f t="shared" si="0"/>
        <v>1257755.2</v>
      </c>
      <c r="C23" s="7">
        <f t="shared" si="1"/>
        <v>1254477.3</v>
      </c>
      <c r="D23" s="7">
        <f t="shared" si="2"/>
        <v>99.739384897792519</v>
      </c>
      <c r="E23" s="25">
        <v>646.6</v>
      </c>
      <c r="F23" s="7">
        <v>646.6</v>
      </c>
      <c r="G23" s="7">
        <f t="shared" si="3"/>
        <v>100</v>
      </c>
      <c r="H23" s="8">
        <v>79.7</v>
      </c>
      <c r="I23" s="8">
        <v>79.7</v>
      </c>
      <c r="J23" s="7">
        <f t="shared" si="4"/>
        <v>100</v>
      </c>
      <c r="K23" s="21">
        <v>226304.8</v>
      </c>
      <c r="L23" s="7">
        <f>223384.4+2555.9</f>
        <v>225940.3</v>
      </c>
      <c r="M23" s="7">
        <f t="shared" si="5"/>
        <v>99.838934039401721</v>
      </c>
      <c r="N23" s="7">
        <v>0</v>
      </c>
      <c r="O23" s="7">
        <v>0</v>
      </c>
      <c r="P23" s="7">
        <f t="shared" si="6"/>
        <v>0</v>
      </c>
      <c r="Q23" s="7">
        <v>0</v>
      </c>
      <c r="R23" s="7"/>
      <c r="S23" s="7">
        <f t="shared" si="7"/>
        <v>0</v>
      </c>
      <c r="T23" s="21">
        <f>25733.4-4500</f>
        <v>21233.4</v>
      </c>
      <c r="U23" s="7">
        <v>20186</v>
      </c>
      <c r="V23" s="7">
        <f t="shared" si="8"/>
        <v>95.067205440485267</v>
      </c>
      <c r="W23" s="7">
        <v>0</v>
      </c>
      <c r="X23" s="7">
        <v>0</v>
      </c>
      <c r="Y23" s="7">
        <f t="shared" si="9"/>
        <v>0</v>
      </c>
      <c r="Z23" s="21" t="s">
        <v>7</v>
      </c>
      <c r="AA23" s="7">
        <v>0</v>
      </c>
      <c r="AB23" s="7">
        <v>0</v>
      </c>
      <c r="AC23" s="7">
        <v>0</v>
      </c>
      <c r="AD23" s="7" t="s">
        <v>7</v>
      </c>
      <c r="AE23" s="7">
        <f t="shared" si="11"/>
        <v>0</v>
      </c>
      <c r="AF23" s="21">
        <v>1700</v>
      </c>
      <c r="AG23" s="7">
        <v>1700</v>
      </c>
      <c r="AH23" s="7">
        <f t="shared" si="12"/>
        <v>100</v>
      </c>
      <c r="AI23" s="21">
        <v>0</v>
      </c>
      <c r="AJ23" s="7">
        <v>0</v>
      </c>
      <c r="AK23" s="7">
        <v>0</v>
      </c>
      <c r="AL23" s="21">
        <v>580.4</v>
      </c>
      <c r="AM23" s="21">
        <v>580.4</v>
      </c>
      <c r="AN23" s="7">
        <f t="shared" si="13"/>
        <v>100</v>
      </c>
      <c r="AO23" s="7" t="s">
        <v>7</v>
      </c>
      <c r="AP23" s="7"/>
      <c r="AQ23" s="7">
        <f t="shared" si="14"/>
        <v>0</v>
      </c>
      <c r="AR23" s="21">
        <v>0</v>
      </c>
      <c r="AS23" s="7">
        <v>0</v>
      </c>
      <c r="AT23" s="7">
        <v>0</v>
      </c>
      <c r="AU23" s="21">
        <f>165178.7-4215.8</f>
        <v>160962.90000000002</v>
      </c>
      <c r="AV23" s="7">
        <v>160962.9</v>
      </c>
      <c r="AW23" s="7">
        <f t="shared" si="15"/>
        <v>99.999999999999972</v>
      </c>
      <c r="AX23" s="21">
        <v>2716.3</v>
      </c>
      <c r="AY23" s="7">
        <v>2704.1</v>
      </c>
      <c r="AZ23" s="7">
        <f t="shared" si="16"/>
        <v>99.550859625225485</v>
      </c>
      <c r="BA23" s="7" t="s">
        <v>7</v>
      </c>
      <c r="BB23" s="7">
        <v>0</v>
      </c>
      <c r="BC23" s="7">
        <f t="shared" si="17"/>
        <v>0</v>
      </c>
      <c r="BD23" s="21">
        <f>15591.8-1924.2</f>
        <v>13667.599999999999</v>
      </c>
      <c r="BE23" s="7">
        <f>2861.7+6130.7+2996.5</f>
        <v>11988.9</v>
      </c>
      <c r="BF23" s="7">
        <f t="shared" si="18"/>
        <v>87.71766806169336</v>
      </c>
      <c r="BG23" s="7">
        <v>0</v>
      </c>
      <c r="BH23" s="7">
        <v>0</v>
      </c>
      <c r="BI23" s="7">
        <f t="shared" si="19"/>
        <v>0</v>
      </c>
      <c r="BJ23" s="21">
        <v>14981.1</v>
      </c>
      <c r="BK23" s="7">
        <v>14907</v>
      </c>
      <c r="BL23" s="7">
        <f t="shared" si="20"/>
        <v>99.505376774736163</v>
      </c>
      <c r="BM23" s="21">
        <v>805069</v>
      </c>
      <c r="BN23" s="21">
        <v>805034.4</v>
      </c>
      <c r="BO23" s="7">
        <f t="shared" si="21"/>
        <v>99.995702231734171</v>
      </c>
      <c r="BP23" s="7">
        <f t="shared" si="22"/>
        <v>805069</v>
      </c>
      <c r="BQ23" s="7">
        <f t="shared" si="23"/>
        <v>805034.4</v>
      </c>
      <c r="BR23" s="7">
        <f t="shared" si="24"/>
        <v>99.995702231734171</v>
      </c>
      <c r="BS23" s="7">
        <v>805069</v>
      </c>
      <c r="BT23" s="7">
        <v>805034.4</v>
      </c>
      <c r="BU23" s="7">
        <f t="shared" si="32"/>
        <v>99.995702231734171</v>
      </c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>
        <v>0</v>
      </c>
      <c r="DA23" s="7">
        <v>0</v>
      </c>
      <c r="DB23" s="7">
        <v>0</v>
      </c>
      <c r="DC23" s="7" t="s">
        <v>7</v>
      </c>
      <c r="DD23" s="7">
        <v>0</v>
      </c>
      <c r="DE23" s="7">
        <f t="shared" si="25"/>
        <v>0</v>
      </c>
      <c r="DF23" s="21">
        <v>365.1</v>
      </c>
      <c r="DG23" s="7">
        <v>298.8</v>
      </c>
      <c r="DH23" s="7">
        <f t="shared" si="26"/>
        <v>81.840591618734592</v>
      </c>
      <c r="DI23" s="9">
        <v>0</v>
      </c>
      <c r="DJ23" s="16">
        <v>0</v>
      </c>
      <c r="DK23" s="7">
        <v>0</v>
      </c>
      <c r="DL23" s="8">
        <v>9448.2999999999993</v>
      </c>
      <c r="DM23" s="8">
        <v>9448.2000000000007</v>
      </c>
      <c r="DN23" s="7">
        <f t="shared" si="27"/>
        <v>99.998941608543348</v>
      </c>
      <c r="DO23" s="8">
        <v>0</v>
      </c>
      <c r="DP23" s="8">
        <v>0</v>
      </c>
      <c r="DQ23" s="7">
        <v>0</v>
      </c>
      <c r="DR23" s="8"/>
      <c r="DS23" s="8"/>
      <c r="DT23" s="8"/>
      <c r="DU23" s="8"/>
      <c r="DV23" s="8"/>
      <c r="DW23" s="8"/>
    </row>
    <row r="24" spans="1:127" s="2" customFormat="1" ht="34.049999999999997" hidden="1" customHeight="1" x14ac:dyDescent="0.3">
      <c r="A24" s="12" t="s">
        <v>19</v>
      </c>
      <c r="B24" s="7">
        <f t="shared" si="0"/>
        <v>0</v>
      </c>
      <c r="C24" s="7">
        <f t="shared" si="1"/>
        <v>0</v>
      </c>
      <c r="D24" s="7" t="e">
        <f t="shared" si="2"/>
        <v>#DIV/0!</v>
      </c>
      <c r="E24" s="7">
        <v>0</v>
      </c>
      <c r="F24" s="7">
        <v>0</v>
      </c>
      <c r="G24" s="7" t="e">
        <f t="shared" si="3"/>
        <v>#DIV/0!</v>
      </c>
      <c r="H24" s="8"/>
      <c r="I24" s="8">
        <v>0</v>
      </c>
      <c r="J24" s="7" t="e">
        <f t="shared" si="4"/>
        <v>#DIV/0!</v>
      </c>
      <c r="K24" s="7">
        <v>0</v>
      </c>
      <c r="L24" s="7">
        <v>0</v>
      </c>
      <c r="M24" s="7" t="e">
        <f t="shared" si="5"/>
        <v>#DIV/0!</v>
      </c>
      <c r="N24" s="7">
        <v>0</v>
      </c>
      <c r="O24" s="7">
        <v>0</v>
      </c>
      <c r="P24" s="7">
        <f t="shared" si="6"/>
        <v>0</v>
      </c>
      <c r="Q24" s="7">
        <v>0</v>
      </c>
      <c r="R24" s="7"/>
      <c r="S24" s="7">
        <f t="shared" si="7"/>
        <v>0</v>
      </c>
      <c r="T24" s="7">
        <v>0</v>
      </c>
      <c r="U24" s="7">
        <v>0</v>
      </c>
      <c r="V24" s="7" t="e">
        <f t="shared" si="8"/>
        <v>#DIV/0!</v>
      </c>
      <c r="W24" s="7">
        <v>0</v>
      </c>
      <c r="X24" s="7">
        <v>0</v>
      </c>
      <c r="Y24" s="7">
        <f t="shared" si="9"/>
        <v>0</v>
      </c>
      <c r="Z24" s="7" t="s">
        <v>7</v>
      </c>
      <c r="AA24" s="7" t="s">
        <v>7</v>
      </c>
      <c r="AB24" s="7" t="e">
        <f t="shared" ref="AB24:AB28" si="46">AA24/Z24*100</f>
        <v>#DIV/0!</v>
      </c>
      <c r="AC24" s="7">
        <v>0</v>
      </c>
      <c r="AD24" s="7">
        <v>0</v>
      </c>
      <c r="AE24" s="7">
        <f t="shared" si="11"/>
        <v>0</v>
      </c>
      <c r="AF24" s="7" t="s">
        <v>7</v>
      </c>
      <c r="AG24" s="7">
        <v>0</v>
      </c>
      <c r="AH24" s="7" t="e">
        <f t="shared" si="12"/>
        <v>#DIV/0!</v>
      </c>
      <c r="AI24" s="7">
        <v>0</v>
      </c>
      <c r="AJ24" s="7">
        <v>0</v>
      </c>
      <c r="AK24" s="7" t="e">
        <f t="shared" ref="AK24:AK28" si="47">AJ24/AI24*100</f>
        <v>#DIV/0!</v>
      </c>
      <c r="AL24" s="7">
        <v>0</v>
      </c>
      <c r="AM24" s="7">
        <v>0</v>
      </c>
      <c r="AN24" s="7" t="e">
        <f t="shared" si="13"/>
        <v>#DIV/0!</v>
      </c>
      <c r="AO24" s="7" t="s">
        <v>7</v>
      </c>
      <c r="AP24" s="7"/>
      <c r="AQ24" s="7">
        <f t="shared" si="14"/>
        <v>0</v>
      </c>
      <c r="AR24" s="7">
        <v>0</v>
      </c>
      <c r="AS24" s="7">
        <v>0</v>
      </c>
      <c r="AT24" s="7" t="e">
        <f t="shared" si="28"/>
        <v>#DIV/0!</v>
      </c>
      <c r="AU24" s="7">
        <v>0</v>
      </c>
      <c r="AV24" s="7">
        <v>0</v>
      </c>
      <c r="AW24" s="7" t="e">
        <f t="shared" si="15"/>
        <v>#DIV/0!</v>
      </c>
      <c r="AX24" s="7" t="s">
        <v>7</v>
      </c>
      <c r="AY24" s="7">
        <v>0</v>
      </c>
      <c r="AZ24" s="7" t="e">
        <f t="shared" si="16"/>
        <v>#DIV/0!</v>
      </c>
      <c r="BA24" s="7" t="s">
        <v>7</v>
      </c>
      <c r="BB24" s="7">
        <v>0</v>
      </c>
      <c r="BC24" s="7">
        <f t="shared" si="17"/>
        <v>0</v>
      </c>
      <c r="BD24" s="7" t="s">
        <v>7</v>
      </c>
      <c r="BE24" s="7" t="s">
        <v>7</v>
      </c>
      <c r="BF24" s="7" t="e">
        <f t="shared" si="18"/>
        <v>#DIV/0!</v>
      </c>
      <c r="BG24" s="7">
        <v>0</v>
      </c>
      <c r="BH24" s="7" t="s">
        <v>7</v>
      </c>
      <c r="BI24" s="7">
        <f t="shared" si="19"/>
        <v>0</v>
      </c>
      <c r="BJ24" s="7">
        <v>0</v>
      </c>
      <c r="BK24" s="7">
        <v>0</v>
      </c>
      <c r="BL24" s="7" t="e">
        <f t="shared" si="20"/>
        <v>#DIV/0!</v>
      </c>
      <c r="BM24" s="7">
        <v>0</v>
      </c>
      <c r="BN24" s="7">
        <v>0</v>
      </c>
      <c r="BO24" s="7" t="e">
        <f t="shared" si="21"/>
        <v>#DIV/0!</v>
      </c>
      <c r="BP24" s="7">
        <f t="shared" si="22"/>
        <v>0</v>
      </c>
      <c r="BQ24" s="7">
        <f t="shared" si="23"/>
        <v>0</v>
      </c>
      <c r="BR24" s="7" t="e">
        <f t="shared" si="24"/>
        <v>#DIV/0!</v>
      </c>
      <c r="BS24" s="7"/>
      <c r="BT24" s="7"/>
      <c r="BU24" s="7" t="e">
        <f t="shared" si="32"/>
        <v>#DIV/0!</v>
      </c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>
        <v>0</v>
      </c>
      <c r="DA24" s="7">
        <v>0</v>
      </c>
      <c r="DB24" s="7" t="e">
        <f t="shared" si="31"/>
        <v>#DIV/0!</v>
      </c>
      <c r="DC24" s="7" t="s">
        <v>7</v>
      </c>
      <c r="DD24" s="7"/>
      <c r="DE24" s="7">
        <f t="shared" si="25"/>
        <v>0</v>
      </c>
      <c r="DF24" s="7">
        <v>0</v>
      </c>
      <c r="DG24" s="7">
        <v>0</v>
      </c>
      <c r="DH24" s="7" t="e">
        <f t="shared" si="26"/>
        <v>#DIV/0!</v>
      </c>
      <c r="DI24" s="9">
        <v>0</v>
      </c>
      <c r="DJ24" s="10"/>
      <c r="DK24" s="7">
        <f t="shared" ref="DK24:DK26" si="48">DJ24-DI24</f>
        <v>0</v>
      </c>
      <c r="DL24" s="8">
        <v>0</v>
      </c>
      <c r="DM24" s="8">
        <v>0</v>
      </c>
      <c r="DN24" s="7" t="e">
        <f t="shared" si="27"/>
        <v>#DIV/0!</v>
      </c>
      <c r="DO24" s="8">
        <v>0</v>
      </c>
      <c r="DP24" s="8">
        <v>0</v>
      </c>
      <c r="DQ24" s="7" t="e">
        <f t="shared" si="29"/>
        <v>#DIV/0!</v>
      </c>
      <c r="DR24" s="8"/>
      <c r="DS24" s="8"/>
      <c r="DT24" s="8"/>
      <c r="DU24" s="8"/>
      <c r="DV24" s="8"/>
      <c r="DW24" s="8"/>
    </row>
    <row r="25" spans="1:127" s="2" customFormat="1" ht="34.049999999999997" hidden="1" customHeight="1" x14ac:dyDescent="0.3">
      <c r="A25" s="12" t="s">
        <v>20</v>
      </c>
      <c r="B25" s="7">
        <f t="shared" si="0"/>
        <v>0</v>
      </c>
      <c r="C25" s="7">
        <f t="shared" si="1"/>
        <v>0</v>
      </c>
      <c r="D25" s="7" t="e">
        <f t="shared" si="2"/>
        <v>#DIV/0!</v>
      </c>
      <c r="E25" s="7">
        <v>0</v>
      </c>
      <c r="F25" s="7">
        <v>0</v>
      </c>
      <c r="G25" s="7" t="e">
        <f t="shared" si="3"/>
        <v>#DIV/0!</v>
      </c>
      <c r="H25" s="8"/>
      <c r="I25" s="8">
        <v>0</v>
      </c>
      <c r="J25" s="7" t="e">
        <f t="shared" si="4"/>
        <v>#DIV/0!</v>
      </c>
      <c r="K25" s="7">
        <v>0</v>
      </c>
      <c r="L25" s="7">
        <v>0</v>
      </c>
      <c r="M25" s="7" t="e">
        <f t="shared" si="5"/>
        <v>#DIV/0!</v>
      </c>
      <c r="N25" s="7">
        <v>0</v>
      </c>
      <c r="O25" s="7">
        <v>0</v>
      </c>
      <c r="P25" s="7">
        <f t="shared" si="6"/>
        <v>0</v>
      </c>
      <c r="Q25" s="7">
        <v>0</v>
      </c>
      <c r="R25" s="7"/>
      <c r="S25" s="7">
        <f t="shared" si="7"/>
        <v>0</v>
      </c>
      <c r="T25" s="7">
        <v>0</v>
      </c>
      <c r="U25" s="7">
        <v>0</v>
      </c>
      <c r="V25" s="7" t="e">
        <f t="shared" si="8"/>
        <v>#DIV/0!</v>
      </c>
      <c r="W25" s="7">
        <v>0</v>
      </c>
      <c r="X25" s="7">
        <v>0</v>
      </c>
      <c r="Y25" s="7">
        <f t="shared" si="9"/>
        <v>0</v>
      </c>
      <c r="Z25" s="7" t="s">
        <v>7</v>
      </c>
      <c r="AA25" s="7" t="s">
        <v>7</v>
      </c>
      <c r="AB25" s="7" t="e">
        <f t="shared" si="46"/>
        <v>#DIV/0!</v>
      </c>
      <c r="AC25" s="7" t="s">
        <v>7</v>
      </c>
      <c r="AD25" s="7" t="s">
        <v>7</v>
      </c>
      <c r="AE25" s="7">
        <f t="shared" si="11"/>
        <v>0</v>
      </c>
      <c r="AF25" s="7" t="s">
        <v>7</v>
      </c>
      <c r="AG25" s="7">
        <v>0</v>
      </c>
      <c r="AH25" s="7" t="e">
        <f t="shared" si="12"/>
        <v>#DIV/0!</v>
      </c>
      <c r="AI25" s="7">
        <v>0</v>
      </c>
      <c r="AJ25" s="7">
        <v>0</v>
      </c>
      <c r="AK25" s="7" t="e">
        <f t="shared" si="47"/>
        <v>#DIV/0!</v>
      </c>
      <c r="AL25" s="7">
        <v>0</v>
      </c>
      <c r="AM25" s="7">
        <v>0</v>
      </c>
      <c r="AN25" s="7" t="e">
        <f t="shared" si="13"/>
        <v>#DIV/0!</v>
      </c>
      <c r="AO25" s="7" t="s">
        <v>7</v>
      </c>
      <c r="AP25" s="7"/>
      <c r="AQ25" s="7">
        <f t="shared" si="14"/>
        <v>0</v>
      </c>
      <c r="AR25" s="7">
        <v>0</v>
      </c>
      <c r="AS25" s="7">
        <v>0</v>
      </c>
      <c r="AT25" s="7" t="e">
        <f t="shared" si="28"/>
        <v>#DIV/0!</v>
      </c>
      <c r="AU25" s="7">
        <v>0</v>
      </c>
      <c r="AV25" s="7">
        <v>0</v>
      </c>
      <c r="AW25" s="7" t="e">
        <f t="shared" si="15"/>
        <v>#DIV/0!</v>
      </c>
      <c r="AX25" s="7" t="s">
        <v>7</v>
      </c>
      <c r="AY25" s="7">
        <v>0</v>
      </c>
      <c r="AZ25" s="7" t="e">
        <f t="shared" si="16"/>
        <v>#DIV/0!</v>
      </c>
      <c r="BA25" s="7" t="s">
        <v>7</v>
      </c>
      <c r="BB25" s="7">
        <v>0</v>
      </c>
      <c r="BC25" s="7">
        <f t="shared" si="17"/>
        <v>0</v>
      </c>
      <c r="BD25" s="7" t="s">
        <v>7</v>
      </c>
      <c r="BE25" s="7" t="s">
        <v>7</v>
      </c>
      <c r="BF25" s="7" t="e">
        <f t="shared" si="18"/>
        <v>#DIV/0!</v>
      </c>
      <c r="BG25" s="7" t="s">
        <v>7</v>
      </c>
      <c r="BH25" s="7" t="s">
        <v>7</v>
      </c>
      <c r="BI25" s="7">
        <f t="shared" si="19"/>
        <v>0</v>
      </c>
      <c r="BJ25" s="7">
        <v>0</v>
      </c>
      <c r="BK25" s="7">
        <v>0</v>
      </c>
      <c r="BL25" s="7" t="e">
        <f t="shared" si="20"/>
        <v>#DIV/0!</v>
      </c>
      <c r="BM25" s="7">
        <v>0</v>
      </c>
      <c r="BN25" s="7">
        <v>0</v>
      </c>
      <c r="BO25" s="7" t="e">
        <f t="shared" si="21"/>
        <v>#DIV/0!</v>
      </c>
      <c r="BP25" s="7">
        <f t="shared" si="22"/>
        <v>0</v>
      </c>
      <c r="BQ25" s="7">
        <f t="shared" si="23"/>
        <v>0</v>
      </c>
      <c r="BR25" s="7" t="e">
        <f t="shared" si="24"/>
        <v>#DIV/0!</v>
      </c>
      <c r="BS25" s="7"/>
      <c r="BT25" s="7"/>
      <c r="BU25" s="7" t="e">
        <f t="shared" si="32"/>
        <v>#DIV/0!</v>
      </c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>
        <v>0</v>
      </c>
      <c r="DA25" s="7">
        <v>0</v>
      </c>
      <c r="DB25" s="7" t="e">
        <f t="shared" si="31"/>
        <v>#DIV/0!</v>
      </c>
      <c r="DC25" s="7" t="s">
        <v>7</v>
      </c>
      <c r="DD25" s="7"/>
      <c r="DE25" s="7">
        <f t="shared" si="25"/>
        <v>0</v>
      </c>
      <c r="DF25" s="7">
        <v>0</v>
      </c>
      <c r="DG25" s="7">
        <v>0</v>
      </c>
      <c r="DH25" s="7" t="e">
        <f t="shared" si="26"/>
        <v>#DIV/0!</v>
      </c>
      <c r="DI25" s="9">
        <v>0</v>
      </c>
      <c r="DJ25" s="10"/>
      <c r="DK25" s="7">
        <f t="shared" si="48"/>
        <v>0</v>
      </c>
      <c r="DL25" s="8">
        <v>0</v>
      </c>
      <c r="DM25" s="8">
        <v>0</v>
      </c>
      <c r="DN25" s="7" t="e">
        <f t="shared" si="27"/>
        <v>#DIV/0!</v>
      </c>
      <c r="DO25" s="8">
        <v>0</v>
      </c>
      <c r="DP25" s="8">
        <v>0</v>
      </c>
      <c r="DQ25" s="7" t="e">
        <f t="shared" si="29"/>
        <v>#DIV/0!</v>
      </c>
      <c r="DR25" s="8"/>
      <c r="DS25" s="8"/>
      <c r="DT25" s="8"/>
      <c r="DU25" s="8"/>
      <c r="DV25" s="8"/>
      <c r="DW25" s="8"/>
    </row>
    <row r="26" spans="1:127" s="2" customFormat="1" ht="34.049999999999997" hidden="1" customHeight="1" x14ac:dyDescent="0.3">
      <c r="A26" s="12" t="s">
        <v>21</v>
      </c>
      <c r="B26" s="7">
        <f t="shared" si="0"/>
        <v>0</v>
      </c>
      <c r="C26" s="7">
        <f t="shared" si="1"/>
        <v>0</v>
      </c>
      <c r="D26" s="7" t="e">
        <f t="shared" si="2"/>
        <v>#DIV/0!</v>
      </c>
      <c r="E26" s="7">
        <v>0</v>
      </c>
      <c r="F26" s="7">
        <v>0</v>
      </c>
      <c r="G26" s="7" t="e">
        <f t="shared" si="3"/>
        <v>#DIV/0!</v>
      </c>
      <c r="H26" s="8"/>
      <c r="I26" s="8">
        <v>0</v>
      </c>
      <c r="J26" s="7" t="e">
        <f t="shared" si="4"/>
        <v>#DIV/0!</v>
      </c>
      <c r="K26" s="7">
        <v>0</v>
      </c>
      <c r="L26" s="7">
        <v>0</v>
      </c>
      <c r="M26" s="7" t="e">
        <f t="shared" si="5"/>
        <v>#DIV/0!</v>
      </c>
      <c r="N26" s="7">
        <v>0</v>
      </c>
      <c r="O26" s="7">
        <v>0</v>
      </c>
      <c r="P26" s="7">
        <f t="shared" si="6"/>
        <v>0</v>
      </c>
      <c r="Q26" s="7">
        <v>0</v>
      </c>
      <c r="R26" s="7"/>
      <c r="S26" s="7">
        <f t="shared" si="7"/>
        <v>0</v>
      </c>
      <c r="T26" s="7">
        <v>0</v>
      </c>
      <c r="U26" s="7">
        <v>0</v>
      </c>
      <c r="V26" s="7" t="e">
        <f t="shared" si="8"/>
        <v>#DIV/0!</v>
      </c>
      <c r="W26" s="7">
        <v>0</v>
      </c>
      <c r="X26" s="7">
        <v>0</v>
      </c>
      <c r="Y26" s="7">
        <f t="shared" si="9"/>
        <v>0</v>
      </c>
      <c r="Z26" s="7" t="s">
        <v>7</v>
      </c>
      <c r="AA26" s="7" t="s">
        <v>7</v>
      </c>
      <c r="AB26" s="7" t="e">
        <f t="shared" si="46"/>
        <v>#DIV/0!</v>
      </c>
      <c r="AC26" s="7">
        <v>0</v>
      </c>
      <c r="AD26" s="7" t="s">
        <v>7</v>
      </c>
      <c r="AE26" s="7">
        <f t="shared" si="11"/>
        <v>0</v>
      </c>
      <c r="AF26" s="7" t="s">
        <v>7</v>
      </c>
      <c r="AG26" s="7">
        <v>0</v>
      </c>
      <c r="AH26" s="7" t="e">
        <f t="shared" si="12"/>
        <v>#DIV/0!</v>
      </c>
      <c r="AI26" s="7">
        <v>0</v>
      </c>
      <c r="AJ26" s="7">
        <v>0</v>
      </c>
      <c r="AK26" s="7" t="e">
        <f t="shared" si="47"/>
        <v>#DIV/0!</v>
      </c>
      <c r="AL26" s="7">
        <v>0</v>
      </c>
      <c r="AM26" s="7">
        <v>0</v>
      </c>
      <c r="AN26" s="7" t="e">
        <f t="shared" si="13"/>
        <v>#DIV/0!</v>
      </c>
      <c r="AO26" s="7" t="s">
        <v>7</v>
      </c>
      <c r="AP26" s="7"/>
      <c r="AQ26" s="7">
        <f t="shared" si="14"/>
        <v>0</v>
      </c>
      <c r="AR26" s="7">
        <v>0</v>
      </c>
      <c r="AS26" s="7">
        <v>0</v>
      </c>
      <c r="AT26" s="7" t="e">
        <f t="shared" si="28"/>
        <v>#DIV/0!</v>
      </c>
      <c r="AU26" s="7">
        <v>0</v>
      </c>
      <c r="AV26" s="7">
        <v>0</v>
      </c>
      <c r="AW26" s="7" t="e">
        <f t="shared" si="15"/>
        <v>#DIV/0!</v>
      </c>
      <c r="AX26" s="7" t="s">
        <v>7</v>
      </c>
      <c r="AY26" s="7">
        <v>0</v>
      </c>
      <c r="AZ26" s="7" t="e">
        <f t="shared" si="16"/>
        <v>#DIV/0!</v>
      </c>
      <c r="BA26" s="7" t="s">
        <v>7</v>
      </c>
      <c r="BB26" s="7">
        <v>0</v>
      </c>
      <c r="BC26" s="7">
        <f t="shared" si="17"/>
        <v>0</v>
      </c>
      <c r="BD26" s="7" t="s">
        <v>7</v>
      </c>
      <c r="BE26" s="7" t="s">
        <v>7</v>
      </c>
      <c r="BF26" s="7" t="e">
        <f t="shared" si="18"/>
        <v>#DIV/0!</v>
      </c>
      <c r="BG26" s="7" t="s">
        <v>7</v>
      </c>
      <c r="BH26" s="7" t="s">
        <v>7</v>
      </c>
      <c r="BI26" s="7">
        <f t="shared" si="19"/>
        <v>0</v>
      </c>
      <c r="BJ26" s="7">
        <v>0</v>
      </c>
      <c r="BK26" s="7">
        <v>0</v>
      </c>
      <c r="BL26" s="7" t="e">
        <f t="shared" si="20"/>
        <v>#DIV/0!</v>
      </c>
      <c r="BM26" s="7">
        <v>0</v>
      </c>
      <c r="BN26" s="7">
        <v>0</v>
      </c>
      <c r="BO26" s="7" t="e">
        <f t="shared" si="21"/>
        <v>#DIV/0!</v>
      </c>
      <c r="BP26" s="7">
        <f t="shared" si="22"/>
        <v>0</v>
      </c>
      <c r="BQ26" s="7">
        <f t="shared" si="23"/>
        <v>0</v>
      </c>
      <c r="BR26" s="7" t="e">
        <f t="shared" si="24"/>
        <v>#DIV/0!</v>
      </c>
      <c r="BS26" s="7"/>
      <c r="BT26" s="7"/>
      <c r="BU26" s="7" t="e">
        <f t="shared" si="32"/>
        <v>#DIV/0!</v>
      </c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>
        <v>0</v>
      </c>
      <c r="DA26" s="7">
        <v>0</v>
      </c>
      <c r="DB26" s="7" t="e">
        <f t="shared" si="31"/>
        <v>#DIV/0!</v>
      </c>
      <c r="DC26" s="7" t="s">
        <v>7</v>
      </c>
      <c r="DD26" s="7"/>
      <c r="DE26" s="7">
        <f t="shared" si="25"/>
        <v>0</v>
      </c>
      <c r="DF26" s="7">
        <v>0</v>
      </c>
      <c r="DG26" s="7">
        <v>0</v>
      </c>
      <c r="DH26" s="7" t="e">
        <f t="shared" si="26"/>
        <v>#DIV/0!</v>
      </c>
      <c r="DI26" s="9">
        <v>0</v>
      </c>
      <c r="DJ26" s="10"/>
      <c r="DK26" s="7">
        <f t="shared" si="48"/>
        <v>0</v>
      </c>
      <c r="DL26" s="8">
        <v>0</v>
      </c>
      <c r="DM26" s="8">
        <v>0</v>
      </c>
      <c r="DN26" s="7" t="e">
        <f t="shared" si="27"/>
        <v>#DIV/0!</v>
      </c>
      <c r="DO26" s="8">
        <v>0</v>
      </c>
      <c r="DP26" s="8">
        <v>0</v>
      </c>
      <c r="DQ26" s="7" t="e">
        <f t="shared" si="29"/>
        <v>#DIV/0!</v>
      </c>
      <c r="DR26" s="8"/>
      <c r="DS26" s="8"/>
      <c r="DT26" s="8"/>
      <c r="DU26" s="8"/>
      <c r="DV26" s="8"/>
      <c r="DW26" s="8"/>
    </row>
    <row r="27" spans="1:127" s="4" customFormat="1" ht="16.8" customHeight="1" x14ac:dyDescent="0.3">
      <c r="A27" s="12" t="s">
        <v>22</v>
      </c>
      <c r="B27" s="7">
        <f t="shared" si="0"/>
        <v>2.7648638933897018E-10</v>
      </c>
      <c r="C27" s="7">
        <f t="shared" si="1"/>
        <v>0</v>
      </c>
      <c r="D27" s="7">
        <f t="shared" si="2"/>
        <v>0</v>
      </c>
      <c r="E27" s="7">
        <v>0</v>
      </c>
      <c r="F27" s="7">
        <v>0</v>
      </c>
      <c r="G27" s="7">
        <v>0</v>
      </c>
      <c r="H27" s="7">
        <v>0</v>
      </c>
      <c r="I27" s="18">
        <v>0</v>
      </c>
      <c r="J27" s="7">
        <v>0</v>
      </c>
      <c r="K27" s="7">
        <v>0</v>
      </c>
      <c r="L27" s="7">
        <v>0</v>
      </c>
      <c r="M27" s="7">
        <v>0</v>
      </c>
      <c r="N27" s="7">
        <f>35477.4-19157.8-12853.5-3466.1</f>
        <v>0</v>
      </c>
      <c r="O27" s="7">
        <v>0</v>
      </c>
      <c r="P27" s="7">
        <f>O27-N27</f>
        <v>0</v>
      </c>
      <c r="Q27" s="7">
        <v>0</v>
      </c>
      <c r="R27" s="7">
        <v>0</v>
      </c>
      <c r="S27" s="7">
        <f>R27-Q27</f>
        <v>0</v>
      </c>
      <c r="T27" s="7" t="s">
        <v>7</v>
      </c>
      <c r="U27" s="7">
        <v>0</v>
      </c>
      <c r="V27" s="7">
        <v>0</v>
      </c>
      <c r="W27" s="7">
        <v>0</v>
      </c>
      <c r="X27" s="7">
        <v>0</v>
      </c>
      <c r="Y27" s="7">
        <f t="shared" si="9"/>
        <v>0</v>
      </c>
      <c r="Z27" s="7" t="s">
        <v>7</v>
      </c>
      <c r="AA27" s="7">
        <v>0</v>
      </c>
      <c r="AB27" s="7">
        <v>0</v>
      </c>
      <c r="AC27" s="7">
        <v>0</v>
      </c>
      <c r="AD27" s="7">
        <v>0</v>
      </c>
      <c r="AE27" s="7">
        <f t="shared" si="11"/>
        <v>0</v>
      </c>
      <c r="AF27" s="7" t="s">
        <v>7</v>
      </c>
      <c r="AG27" s="7">
        <v>0</v>
      </c>
      <c r="AH27" s="7">
        <v>0</v>
      </c>
      <c r="AI27" s="7" t="s">
        <v>7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f t="shared" si="14"/>
        <v>0</v>
      </c>
      <c r="AR27" s="7" t="s">
        <v>7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 t="s">
        <v>7</v>
      </c>
      <c r="BB27" s="7">
        <v>0</v>
      </c>
      <c r="BC27" s="7">
        <f t="shared" si="17"/>
        <v>0</v>
      </c>
      <c r="BD27" s="7">
        <f>2382319.7-2249417.9-44700-88201.8</f>
        <v>2.7648638933897018E-10</v>
      </c>
      <c r="BE27" s="7">
        <v>0</v>
      </c>
      <c r="BF27" s="7">
        <f t="shared" si="18"/>
        <v>0</v>
      </c>
      <c r="BG27" s="7" t="s">
        <v>7</v>
      </c>
      <c r="BH27" s="7"/>
      <c r="BI27" s="7">
        <f t="shared" si="19"/>
        <v>0</v>
      </c>
      <c r="BJ27" s="7" t="s">
        <v>7</v>
      </c>
      <c r="BK27" s="7" t="s">
        <v>7</v>
      </c>
      <c r="BL27" s="7">
        <v>0</v>
      </c>
      <c r="BM27" s="7">
        <v>0</v>
      </c>
      <c r="BN27" s="7">
        <v>0</v>
      </c>
      <c r="BO27" s="7">
        <v>0</v>
      </c>
      <c r="BP27" s="7">
        <f t="shared" si="22"/>
        <v>0</v>
      </c>
      <c r="BQ27" s="7">
        <f t="shared" si="23"/>
        <v>0</v>
      </c>
      <c r="BR27" s="7" t="s">
        <v>27</v>
      </c>
      <c r="BS27" s="7">
        <v>0</v>
      </c>
      <c r="BT27" s="7">
        <v>0</v>
      </c>
      <c r="BU27" s="7" t="s">
        <v>27</v>
      </c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>
        <v>0</v>
      </c>
      <c r="DA27" s="7">
        <v>0</v>
      </c>
      <c r="DB27" s="7">
        <v>0</v>
      </c>
      <c r="DC27" s="7">
        <v>0</v>
      </c>
      <c r="DD27" s="7">
        <v>0</v>
      </c>
      <c r="DE27" s="7">
        <f t="shared" si="25"/>
        <v>0</v>
      </c>
      <c r="DF27" s="7">
        <v>0</v>
      </c>
      <c r="DG27" s="7">
        <v>0</v>
      </c>
      <c r="DH27" s="7">
        <v>0</v>
      </c>
      <c r="DI27" s="7">
        <v>0</v>
      </c>
      <c r="DJ27" s="7">
        <v>0</v>
      </c>
      <c r="DK27" s="7">
        <f t="shared" ref="DK27" si="49">DJ27-DI27</f>
        <v>0</v>
      </c>
      <c r="DL27" s="8">
        <v>0</v>
      </c>
      <c r="DM27" s="8">
        <v>0</v>
      </c>
      <c r="DN27" s="7">
        <v>0</v>
      </c>
      <c r="DO27" s="8">
        <v>0</v>
      </c>
      <c r="DP27" s="8">
        <v>0</v>
      </c>
      <c r="DQ27" s="7">
        <v>0</v>
      </c>
      <c r="DR27" s="8">
        <v>0</v>
      </c>
      <c r="DS27" s="8">
        <v>0</v>
      </c>
      <c r="DT27" s="8">
        <f t="shared" ref="DT27" si="50">DS27-DR27</f>
        <v>0</v>
      </c>
      <c r="DU27" s="17">
        <f>2723-2723</f>
        <v>0</v>
      </c>
      <c r="DV27" s="17">
        <v>0</v>
      </c>
      <c r="DW27" s="7">
        <v>0</v>
      </c>
    </row>
    <row r="28" spans="1:127" s="1" customFormat="1" ht="19.8" customHeight="1" x14ac:dyDescent="0.3">
      <c r="A28" s="19" t="s">
        <v>23</v>
      </c>
      <c r="B28" s="20">
        <f>B6+B7+B8+B9+B10+B11+B12+B13+B14+B15+B16+B17+B18+B19+B20+B21+B22+B23+B24+B25+B26+B27</f>
        <v>26613858.899999995</v>
      </c>
      <c r="C28" s="20">
        <f t="shared" ref="C28" si="51">C6+C7+C8+C9+C10+C11+C12+C13+C14+C15+C16+C17+C18+C19+C20+C21+C22+C23+C24+C25+C26+C27</f>
        <v>26449666.800000001</v>
      </c>
      <c r="D28" s="20">
        <f t="shared" si="2"/>
        <v>99.383057899957549</v>
      </c>
      <c r="E28" s="20">
        <f>E6+E7+E8+E9+E10+E11+E12+E13+E14+E15+E16+E17+E18+E19+E20+E21+E22+E23+E24+E25+E26+E27</f>
        <v>624223.4</v>
      </c>
      <c r="F28" s="20">
        <f t="shared" ref="F28" si="52">F6+F7+F8+F9+F10+F11+F12+F13+F14+F15+F16+F17+F18+F19+F20+F21+F22+F23+F24+F25+F26+F27</f>
        <v>624040.6</v>
      </c>
      <c r="G28" s="20">
        <f t="shared" si="3"/>
        <v>99.970715612391331</v>
      </c>
      <c r="H28" s="20">
        <f>H6+H7+H8+H9+H10+H11+H12+H13+H14+H15+H16+H17+H18+H19+H20+H21+H22+H23+H24+H25+H26+H27</f>
        <v>9725.1</v>
      </c>
      <c r="I28" s="20">
        <f t="shared" ref="I28" si="53">I6+I7+I8+I9+I10+I11+I12+I13+I14+I15+I16+I17+I18+I19+I20+I21+I22+I23+I24+I25+I26+I27</f>
        <v>9725</v>
      </c>
      <c r="J28" s="20">
        <f t="shared" si="4"/>
        <v>99.998971732938486</v>
      </c>
      <c r="K28" s="20">
        <f>K6+K7+K8+K9+K10+K11+K12+K13+K14+K15+K16+K17+K18+K19+K20+K21+K22+K23+K24+K25+K26+K27</f>
        <v>3406253.6</v>
      </c>
      <c r="L28" s="20">
        <f t="shared" ref="L28" si="54">L6+L7+L8+L9+L10+L11+L12+L13+L14+L15+L16+L17+L18+L19+L20+L21+L22+L23+L24+L25+L26+L27</f>
        <v>3400588.3000000007</v>
      </c>
      <c r="M28" s="20">
        <f t="shared" si="5"/>
        <v>99.833679441836054</v>
      </c>
      <c r="N28" s="20">
        <f>N6+N7+N8+N9+N10+N11+N12+N13+N14+N15+N16+N17+N18+N19+N20+N21+N22+N23+N24+N25+N26+N27</f>
        <v>7046.9000000000005</v>
      </c>
      <c r="O28" s="20">
        <f t="shared" ref="O28" si="55">O6+O7+O8+O9+O10+O11+O12+O13+O14+O15+O16+O17+O18+O19+O20+O21+O22+O23+O24+O25+O26+O27</f>
        <v>7046.9000000000005</v>
      </c>
      <c r="P28" s="20">
        <f t="shared" ref="P28" si="56">O28/N28*100</f>
        <v>100</v>
      </c>
      <c r="Q28" s="20">
        <f>Q6+Q7+Q8+Q9+Q10+Q11+Q12+Q13+Q14+Q15+Q16+Q17+Q18+Q19+Q20+Q21+Q22+Q23+Q24+Q25+Q26+Q27</f>
        <v>0</v>
      </c>
      <c r="R28" s="20">
        <f t="shared" ref="R28:S28" si="57">R6+R7+R8+R9+R10+R11+R12+R13+R14+R15+R16+R17+R18+R19+R20+R21+R22+R23+R24+R25+R26+R27</f>
        <v>0</v>
      </c>
      <c r="S28" s="20">
        <f t="shared" si="57"/>
        <v>0</v>
      </c>
      <c r="T28" s="20">
        <f>T6+T7+T8+T9+T10+T11+T12+T13+T14+T15+T16+T17+T18+T19+T20+T21+T22+T23+T24+T25+T26+T27</f>
        <v>2086569.6999999997</v>
      </c>
      <c r="U28" s="20">
        <f t="shared" ref="U28:AO28" si="58">U6+U7+U8+U9+U10+U11+U12+U13+U14+U15+U16+U17+U18+U19+U20+U21+U22+U23+U24+U25+U26+U27</f>
        <v>2074407.2999999998</v>
      </c>
      <c r="V28" s="20">
        <f t="shared" si="8"/>
        <v>99.417110293511897</v>
      </c>
      <c r="W28" s="20">
        <f t="shared" si="58"/>
        <v>0</v>
      </c>
      <c r="X28" s="20">
        <f t="shared" si="58"/>
        <v>0</v>
      </c>
      <c r="Y28" s="20">
        <f t="shared" si="58"/>
        <v>0</v>
      </c>
      <c r="Z28" s="20">
        <f t="shared" si="58"/>
        <v>84136.5</v>
      </c>
      <c r="AA28" s="20">
        <f t="shared" si="58"/>
        <v>84072.700000000012</v>
      </c>
      <c r="AB28" s="20">
        <f t="shared" si="46"/>
        <v>99.92417084143031</v>
      </c>
      <c r="AC28" s="20">
        <f t="shared" si="58"/>
        <v>0</v>
      </c>
      <c r="AD28" s="20">
        <f t="shared" si="58"/>
        <v>0</v>
      </c>
      <c r="AE28" s="20">
        <f t="shared" si="58"/>
        <v>0</v>
      </c>
      <c r="AF28" s="20">
        <f t="shared" si="58"/>
        <v>159501.79999999999</v>
      </c>
      <c r="AG28" s="20">
        <f t="shared" si="58"/>
        <v>158846.9</v>
      </c>
      <c r="AH28" s="20">
        <f t="shared" si="12"/>
        <v>99.589409022343318</v>
      </c>
      <c r="AI28" s="20">
        <f t="shared" si="58"/>
        <v>26607.9</v>
      </c>
      <c r="AJ28" s="20">
        <f t="shared" si="58"/>
        <v>26568.1</v>
      </c>
      <c r="AK28" s="20">
        <f t="shared" si="47"/>
        <v>99.850420363876879</v>
      </c>
      <c r="AL28" s="20">
        <f t="shared" si="58"/>
        <v>114350.49999999997</v>
      </c>
      <c r="AM28" s="20">
        <f t="shared" si="58"/>
        <v>113972.19999999997</v>
      </c>
      <c r="AN28" s="20">
        <f t="shared" si="13"/>
        <v>99.669175036401242</v>
      </c>
      <c r="AO28" s="20">
        <f t="shared" si="58"/>
        <v>0</v>
      </c>
      <c r="AP28" s="20">
        <f t="shared" ref="AP28" si="59">AP6+AP7+AP8+AP9+AP10+AP11+AP12+AP13+AP14+AP15+AP16+AP17+AP18+AP19+AP20+AP21+AP22+AP23+AP24+AP25+AP26+AP27</f>
        <v>0</v>
      </c>
      <c r="AQ28" s="20">
        <f t="shared" ref="AQ28" si="60">AQ6+AQ7+AQ8+AQ9+AQ10+AQ11+AQ12+AQ13+AQ14+AQ15+AQ16+AQ17+AQ18+AQ19+AQ20+AQ21+AQ22+AQ23+AQ24+AQ25+AQ26+AQ27</f>
        <v>0</v>
      </c>
      <c r="AR28" s="20">
        <f t="shared" ref="AR28:AS28" si="61">AR6+AR7+AR8+AR9+AR10+AR11+AR12+AR13+AR14+AR15+AR16+AR17+AR18+AR19+AR20+AR21+AR22+AR23+AR24+AR25+AR26+AR27</f>
        <v>262133.7</v>
      </c>
      <c r="AS28" s="20">
        <f t="shared" si="61"/>
        <v>256449.40000000002</v>
      </c>
      <c r="AT28" s="20">
        <f t="shared" si="28"/>
        <v>97.831526430977789</v>
      </c>
      <c r="AU28" s="20">
        <f t="shared" ref="AU28" si="62">AU6+AU7+AU8+AU9+AU10+AU11+AU12+AU13+AU14+AU15+AU16+AU17+AU18+AU19+AU20+AU21+AU22+AU23+AU24+AU25+AU26+AU27</f>
        <v>3587922.3</v>
      </c>
      <c r="AV28" s="20">
        <f t="shared" ref="AV28" si="63">AV6+AV7+AV8+AV9+AV10+AV11+AV12+AV13+AV14+AV15+AV16+AV17+AV18+AV19+AV20+AV21+AV22+AV23+AV24+AV25+AV26+AV27</f>
        <v>3587921.2999999993</v>
      </c>
      <c r="AW28" s="20">
        <f t="shared" si="15"/>
        <v>99.999972128716379</v>
      </c>
      <c r="AX28" s="20">
        <f>AX6+AX7+AX8+AX9+AX10+AX11+AX12+AX13+AX14+AX15+AX16+AX17+AX18+AX19+AX20+AX21+AX22+AX23+AX24+AX25+AX26+AX27</f>
        <v>186000</v>
      </c>
      <c r="AY28" s="20">
        <f t="shared" ref="AY28" si="64">AY6+AY7+AY8+AY9+AY10+AY11+AY12+AY13+AY14+AY15+AY16+AY17+AY18+AY19+AY20+AY21+AY22+AY23+AY24+AY25+AY26+AY27</f>
        <v>185987.80000000002</v>
      </c>
      <c r="AZ28" s="20">
        <f t="shared" si="16"/>
        <v>99.99344086021506</v>
      </c>
      <c r="BA28" s="20">
        <f t="shared" ref="BA28" si="65">BA6+BA7+BA8+BA9+BA10+BA11+BA12+BA13+BA14+BA15+BA16+BA17+BA18+BA19+BA20+BA21+BA22+BA23+BA24+BA25+BA26+BA27</f>
        <v>664673</v>
      </c>
      <c r="BB28" s="20">
        <f t="shared" ref="BB28" si="66">BB6+BB7+BB8+BB9+BB10+BB11+BB12+BB13+BB14+BB15+BB16+BB17+BB18+BB19+BB20+BB21+BB22+BB23+BB24+BB25+BB26+BB27</f>
        <v>664579.69999999995</v>
      </c>
      <c r="BC28" s="20">
        <f t="shared" ref="BC28" si="67">BC6+BC7+BC8+BC9+BC10+BC11+BC12+BC13+BC14+BC15+BC16+BC17+BC18+BC19+BC20+BC21+BC22+BC23+BC24+BC25+BC26+BC27</f>
        <v>99.985963022418531</v>
      </c>
      <c r="BD28" s="20">
        <f t="shared" ref="BD28" si="68">BD6+BD7+BD8+BD9+BD10+BD11+BD12+BD13+BD14+BD15+BD16+BD17+BD18+BD19+BD20+BD21+BD22+BD23+BD24+BD25+BD26+BD27</f>
        <v>1058139.1000000003</v>
      </c>
      <c r="BE28" s="20">
        <f t="shared" ref="BE28" si="69">BE6+BE7+BE8+BE9+BE10+BE11+BE12+BE13+BE14+BE15+BE16+BE17+BE18+BE19+BE20+BE21+BE22+BE23+BE24+BE25+BE26+BE27</f>
        <v>1055359.6000000001</v>
      </c>
      <c r="BF28" s="20">
        <f t="shared" si="18"/>
        <v>99.737321870064136</v>
      </c>
      <c r="BG28" s="20">
        <f t="shared" ref="BG28" si="70">BG6+BG7+BG8+BG9+BG10+BG11+BG12+BG13+BG14+BG15+BG16+BG17+BG18+BG19+BG20+BG21+BG22+BG23+BG24+BG25+BG26+BG27</f>
        <v>0</v>
      </c>
      <c r="BH28" s="20">
        <f t="shared" ref="BH28" si="71">BH6+BH7+BH8+BH9+BH10+BH11+BH12+BH13+BH14+BH15+BH16+BH17+BH18+BH19+BH20+BH21+BH22+BH23+BH24+BH25+BH26+BH27</f>
        <v>0</v>
      </c>
      <c r="BI28" s="20">
        <f t="shared" ref="BI28" si="72">BI6+BI7+BI8+BI9+BI10+BI11+BI12+BI13+BI14+BI15+BI16+BI17+BI18+BI19+BI20+BI21+BI22+BI23+BI24+BI25+BI26+BI27</f>
        <v>0</v>
      </c>
      <c r="BJ28" s="20">
        <f t="shared" ref="BJ28" si="73">BJ6+BJ7+BJ8+BJ9+BJ10+BJ11+BJ12+BJ13+BJ14+BJ15+BJ16+BJ17+BJ18+BJ19+BJ20+BJ21+BJ22+BJ23+BJ24+BJ25+BJ26+BJ27</f>
        <v>151064.90000000002</v>
      </c>
      <c r="BK28" s="20">
        <f t="shared" ref="BK28" si="74">BK6+BK7+BK8+BK9+BK10+BK11+BK12+BK13+BK14+BK15+BK16+BK17+BK18+BK19+BK20+BK21+BK22+BK23+BK24+BK25+BK26+BK27</f>
        <v>150680.9</v>
      </c>
      <c r="BL28" s="20">
        <f t="shared" si="20"/>
        <v>99.745804617750366</v>
      </c>
      <c r="BM28" s="20">
        <f t="shared" ref="BM28" si="75">BM6+BM7+BM8+BM9+BM10+BM11+BM12+BM13+BM14+BM15+BM16+BM17+BM18+BM19+BM20+BM21+BM22+BM23+BM24+BM25+BM26+BM27</f>
        <v>13685202.399999999</v>
      </c>
      <c r="BN28" s="20">
        <f t="shared" ref="BN28" si="76">BN6+BN7+BN8+BN9+BN10+BN11+BN12+BN13+BN14+BN15+BN16+BN17+BN18+BN19+BN20+BN21+BN22+BN23+BN24+BN25+BN26+BN27</f>
        <v>13567977.799999999</v>
      </c>
      <c r="BO28" s="20">
        <f t="shared" si="21"/>
        <v>99.143420779805197</v>
      </c>
      <c r="BP28" s="20">
        <f t="shared" ref="BP28" si="77">BP6+BP7+BP8+BP9+BP10+BP11+BP12+BP13+BP14+BP15+BP16+BP17+BP18+BP19+BP20+BP21+BP22+BP23+BP24+BP25+BP26+BP27</f>
        <v>13685202.399999997</v>
      </c>
      <c r="BQ28" s="20">
        <f t="shared" ref="BQ28" si="78">BQ6+BQ7+BQ8+BQ9+BQ10+BQ11+BQ12+BQ13+BQ14+BQ15+BQ16+BQ17+BQ18+BQ19+BQ20+BQ21+BQ22+BQ23+BQ24+BQ25+BQ26+BQ27</f>
        <v>13567977.899999999</v>
      </c>
      <c r="BR28" s="20">
        <f t="shared" si="24"/>
        <v>99.143421510521478</v>
      </c>
      <c r="BS28" s="20">
        <f t="shared" ref="BS28:CX28" si="79">BS6+BS7+BS8+BS9+BS10+BS11+BS12+BS13+BS14+BS15+BS16+BS17+BS18+BS19+BS20+BS21+BS22+BS23+BS24+BS25+BS26+BS27</f>
        <v>11725153.9</v>
      </c>
      <c r="BT28" s="20">
        <f t="shared" si="79"/>
        <v>11718167.299999999</v>
      </c>
      <c r="BU28" s="20">
        <f>BT28/BS28*100</f>
        <v>99.940413575296432</v>
      </c>
      <c r="BV28" s="20">
        <f t="shared" si="79"/>
        <v>232393.8</v>
      </c>
      <c r="BW28" s="20">
        <f t="shared" si="79"/>
        <v>151025.9</v>
      </c>
      <c r="BX28" s="20">
        <f>BW28/BV28*100</f>
        <v>64.987060756354083</v>
      </c>
      <c r="BY28" s="20">
        <f t="shared" si="79"/>
        <v>85607.799999999988</v>
      </c>
      <c r="BZ28" s="20">
        <f t="shared" si="79"/>
        <v>85607.799999999988</v>
      </c>
      <c r="CA28" s="20">
        <f>BZ28/BY28*100</f>
        <v>100</v>
      </c>
      <c r="CB28" s="20">
        <f>CB6+CB7+CB8+CB9+CB10+CB11+CB12+CB13+CB14+CB15+CB16+CB17+CB18+CB19+CB20+CB21+CB22+CB23+CB24+CB25+CB26+CB27</f>
        <v>173862.8</v>
      </c>
      <c r="CC28" s="20">
        <f t="shared" si="79"/>
        <v>173862.7</v>
      </c>
      <c r="CD28" s="20">
        <f t="shared" si="79"/>
        <v>99.999942483383464</v>
      </c>
      <c r="CE28" s="20">
        <f t="shared" si="79"/>
        <v>241861.7</v>
      </c>
      <c r="CF28" s="20">
        <f t="shared" si="79"/>
        <v>241861.7</v>
      </c>
      <c r="CG28" s="20">
        <f t="shared" si="79"/>
        <v>100</v>
      </c>
      <c r="CH28" s="20">
        <f t="shared" si="79"/>
        <v>142722.4</v>
      </c>
      <c r="CI28" s="20">
        <f t="shared" si="79"/>
        <v>142722.4</v>
      </c>
      <c r="CJ28" s="20">
        <f t="shared" ref="CJ28" si="80">CI28/CH28*100</f>
        <v>100</v>
      </c>
      <c r="CK28" s="20">
        <f t="shared" si="79"/>
        <v>68826.3</v>
      </c>
      <c r="CL28" s="20">
        <f t="shared" si="79"/>
        <v>68826.3</v>
      </c>
      <c r="CM28" s="20">
        <f t="shared" ref="CM28" si="81">CL28/CK28*100</f>
        <v>100</v>
      </c>
      <c r="CN28" s="20">
        <f t="shared" si="79"/>
        <v>121989.9</v>
      </c>
      <c r="CO28" s="20">
        <f t="shared" si="79"/>
        <v>94255.7</v>
      </c>
      <c r="CP28" s="20">
        <f t="shared" ref="CP28" si="82">CO28/CN28*100</f>
        <v>77.265167034320058</v>
      </c>
      <c r="CQ28" s="20">
        <f t="shared" si="79"/>
        <v>547335.6</v>
      </c>
      <c r="CR28" s="20">
        <f t="shared" si="79"/>
        <v>547335.6</v>
      </c>
      <c r="CS28" s="20">
        <f t="shared" ref="CS28" si="83">CR28/CQ28*100</f>
        <v>100</v>
      </c>
      <c r="CT28" s="20">
        <f t="shared" si="79"/>
        <v>244324.09999999998</v>
      </c>
      <c r="CU28" s="20">
        <f t="shared" si="79"/>
        <v>244324</v>
      </c>
      <c r="CV28" s="20">
        <f t="shared" ref="CV28" si="84">CU28/CT28*100</f>
        <v>99.999959070758891</v>
      </c>
      <c r="CW28" s="20">
        <f t="shared" si="79"/>
        <v>101124.1</v>
      </c>
      <c r="CX28" s="20">
        <f t="shared" si="79"/>
        <v>99988.5</v>
      </c>
      <c r="CY28" s="7">
        <f t="shared" ref="CY28" si="85">CX28/CW28*100</f>
        <v>98.877023380183346</v>
      </c>
      <c r="CZ28" s="20">
        <f t="shared" ref="CZ28" si="86">CZ6+CZ7+CZ8+CZ9+CZ10+CZ11+CZ12+CZ13+CZ14+CZ15+CZ16+CZ17+CZ18+CZ19+CZ20+CZ21+CZ22+CZ23+CZ24+CZ25+CZ26+CZ27</f>
        <v>4028.5</v>
      </c>
      <c r="DA28" s="20">
        <f t="shared" ref="DA28" si="87">DA6+DA7+DA8+DA9+DA10+DA11+DA12+DA13+DA14+DA15+DA16+DA17+DA18+DA19+DA20+DA21+DA22+DA23+DA24+DA25+DA26+DA27</f>
        <v>4028.4</v>
      </c>
      <c r="DB28" s="20">
        <f t="shared" si="31"/>
        <v>99.997517686483803</v>
      </c>
      <c r="DC28" s="20">
        <f t="shared" ref="DC28" si="88">DC6+DC7+DC8+DC9+DC10+DC11+DC12+DC13+DC14+DC15+DC16+DC17+DC18+DC19+DC20+DC21+DC22+DC23+DC24+DC25+DC26+DC27</f>
        <v>0</v>
      </c>
      <c r="DD28" s="20">
        <f t="shared" ref="DD28" si="89">DD6+DD7+DD8+DD9+DD10+DD11+DD12+DD13+DD14+DD15+DD16+DD17+DD18+DD19+DD20+DD21+DD22+DD23+DD24+DD25+DD26+DD27</f>
        <v>0</v>
      </c>
      <c r="DE28" s="20">
        <f t="shared" ref="DE28" si="90">DE6+DE7+DE8+DE9+DE10+DE11+DE12+DE13+DE14+DE15+DE16+DE17+DE18+DE19+DE20+DE21+DE22+DE23+DE24+DE25+DE26+DE27</f>
        <v>0</v>
      </c>
      <c r="DF28" s="20">
        <f t="shared" ref="DF28" si="91">DF6+DF7+DF8+DF9+DF10+DF11+DF12+DF13+DF14+DF15+DF16+DF17+DF18+DF19+DF20+DF21+DF22+DF23+DF24+DF25+DF26+DF27</f>
        <v>31361.899999999994</v>
      </c>
      <c r="DG28" s="20">
        <f t="shared" ref="DG28" si="92">DG6+DG7+DG8+DG9+DG10+DG11+DG12+DG13+DG14+DG15+DG16+DG17+DG18+DG19+DG20+DG21+DG22+DG23+DG24+DG25+DG26+DG27</f>
        <v>31118.799999999996</v>
      </c>
      <c r="DH28" s="20">
        <f t="shared" si="26"/>
        <v>99.224855636935274</v>
      </c>
      <c r="DI28" s="20">
        <f t="shared" ref="DI28:DP28" si="93">DI6+DI7+DI8+DI9+DI10+DI11+DI12+DI13+DI14+DI15+DI16+DI17+DI18+DI19+DI20+DI21+DI22+DI23+DI24+DI25+DI26+DI27</f>
        <v>6399.9</v>
      </c>
      <c r="DJ28" s="20">
        <f t="shared" si="93"/>
        <v>6399.9</v>
      </c>
      <c r="DK28" s="20">
        <f>DJ28/DI28*100</f>
        <v>100</v>
      </c>
      <c r="DL28" s="20">
        <f t="shared" si="93"/>
        <v>300364.50000000006</v>
      </c>
      <c r="DM28" s="20">
        <f t="shared" si="93"/>
        <v>295990.5</v>
      </c>
      <c r="DN28" s="20">
        <f t="shared" si="27"/>
        <v>98.543769320275842</v>
      </c>
      <c r="DO28" s="20">
        <f t="shared" si="93"/>
        <v>155430.29999999999</v>
      </c>
      <c r="DP28" s="20">
        <f t="shared" si="93"/>
        <v>141181.70000000001</v>
      </c>
      <c r="DQ28" s="20">
        <f t="shared" si="29"/>
        <v>90.832804157233198</v>
      </c>
      <c r="DR28" s="20">
        <f t="shared" ref="DR28:DS28" si="94">DR6+DR7+DR8+DR9+DR10+DR11+DR12+DR13+DR14+DR15+DR16+DR17+DR18+DR19+DR20+DR21+DR22+DR23+DR24+DR25+DR26+DR27</f>
        <v>0</v>
      </c>
      <c r="DS28" s="20">
        <f t="shared" si="94"/>
        <v>0</v>
      </c>
      <c r="DT28" s="20" t="e">
        <f>DS28/DR28*100</f>
        <v>#DIV/0!</v>
      </c>
      <c r="DU28" s="20">
        <f t="shared" ref="DU28:DV28" si="95">DU6+DU7+DU8+DU9+DU10+DU11+DU12+DU13+DU14+DU15+DU16+DU17+DU18+DU19+DU20+DU21+DU22+DU23+DU24+DU25+DU26+DU27</f>
        <v>2723</v>
      </c>
      <c r="DV28" s="20">
        <f t="shared" si="95"/>
        <v>2723</v>
      </c>
      <c r="DW28" s="7">
        <f t="shared" ref="DW28" si="96">DV28/DU28*100</f>
        <v>100</v>
      </c>
    </row>
    <row r="29" spans="1:127" s="2" customFormat="1" hidden="1" x14ac:dyDescent="0.25">
      <c r="A29" s="13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</row>
    <row r="30" spans="1:127" x14ac:dyDescent="0.25">
      <c r="V30" s="3" t="s">
        <v>69</v>
      </c>
    </row>
  </sheetData>
  <mergeCells count="77">
    <mergeCell ref="CW3:CY3"/>
    <mergeCell ref="DU3:DW3"/>
    <mergeCell ref="DR3:DT3"/>
    <mergeCell ref="DU5:DW5"/>
    <mergeCell ref="DR5:DT5"/>
    <mergeCell ref="CZ5:DB5"/>
    <mergeCell ref="DC5:DE5"/>
    <mergeCell ref="DF5:DH5"/>
    <mergeCell ref="CZ3:DB3"/>
    <mergeCell ref="DC3:DE3"/>
    <mergeCell ref="DF3:DH3"/>
    <mergeCell ref="DO5:DQ5"/>
    <mergeCell ref="DO3:DQ3"/>
    <mergeCell ref="DL3:DN3"/>
    <mergeCell ref="DL5:DN5"/>
    <mergeCell ref="B5:D5"/>
    <mergeCell ref="K3:M3"/>
    <mergeCell ref="K5:M5"/>
    <mergeCell ref="Q5:S5"/>
    <mergeCell ref="C3:C4"/>
    <mergeCell ref="T5:V5"/>
    <mergeCell ref="W3:Y3"/>
    <mergeCell ref="W5:Y5"/>
    <mergeCell ref="AC3:AE3"/>
    <mergeCell ref="AC5:AE5"/>
    <mergeCell ref="AF5:AH5"/>
    <mergeCell ref="CQ3:CS3"/>
    <mergeCell ref="A3:A4"/>
    <mergeCell ref="DI3:DK3"/>
    <mergeCell ref="DI5:DK5"/>
    <mergeCell ref="E5:G5"/>
    <mergeCell ref="H5:J5"/>
    <mergeCell ref="E3:G3"/>
    <mergeCell ref="H3:J3"/>
    <mergeCell ref="N3:P3"/>
    <mergeCell ref="N5:P5"/>
    <mergeCell ref="Q3:S3"/>
    <mergeCell ref="Z3:AB3"/>
    <mergeCell ref="Z5:AB5"/>
    <mergeCell ref="B3:B4"/>
    <mergeCell ref="T3:V3"/>
    <mergeCell ref="AI5:AK5"/>
    <mergeCell ref="AL3:AN3"/>
    <mergeCell ref="AL5:AN5"/>
    <mergeCell ref="AO3:AQ3"/>
    <mergeCell ref="AO5:AQ5"/>
    <mergeCell ref="AR5:AT5"/>
    <mergeCell ref="BA5:BC5"/>
    <mergeCell ref="BD5:BF5"/>
    <mergeCell ref="BG5:BI5"/>
    <mergeCell ref="AU3:AW3"/>
    <mergeCell ref="AU5:AW5"/>
    <mergeCell ref="AX5:AZ5"/>
    <mergeCell ref="AX3:AZ3"/>
    <mergeCell ref="BA3:BC3"/>
    <mergeCell ref="BD3:BF3"/>
    <mergeCell ref="BG3:BI3"/>
    <mergeCell ref="BJ5:BL5"/>
    <mergeCell ref="BM3:BO3"/>
    <mergeCell ref="BM5:BO5"/>
    <mergeCell ref="BP5:BR5"/>
    <mergeCell ref="BP3:BR3"/>
    <mergeCell ref="CH3:CJ3"/>
    <mergeCell ref="CK3:CM3"/>
    <mergeCell ref="CN3:CP3"/>
    <mergeCell ref="BS3:BU3"/>
    <mergeCell ref="BV3:BX3"/>
    <mergeCell ref="CB3:CD3"/>
    <mergeCell ref="CE3:CG3"/>
    <mergeCell ref="BY3:CA3"/>
    <mergeCell ref="BJ3:BL3"/>
    <mergeCell ref="AR3:AT3"/>
    <mergeCell ref="AI3:AK3"/>
    <mergeCell ref="B2:M2"/>
    <mergeCell ref="AF3:AH3"/>
    <mergeCell ref="D3:D4"/>
    <mergeCell ref="I1:M1"/>
  </mergeCells>
  <pageMargins left="0.59055118110236227" right="0.59055118110236227" top="0.59055118110236227" bottom="0.59055118110236227" header="0.31496062992125984" footer="0.31496062992125984"/>
  <pageSetup paperSize="9" scale="8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Matrix1</vt:lpstr>
      <vt:lpstr>Лист1</vt:lpstr>
      <vt:lpstr>Matrix1!Заголовки_для_печати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2022-04-22T04:02:44Z</dcterms:modified>
</cp:coreProperties>
</file>