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-108" yWindow="372" windowWidth="19416" windowHeight="9936"/>
  </bookViews>
  <sheets>
    <sheet name="Matrix1" sheetId="1" r:id="rId1"/>
    <sheet name="Лист1" sheetId="2" r:id="rId2"/>
  </sheets>
  <definedNames>
    <definedName name="_xlnm.Print_Titles" localSheetId="0">Matrix1!$A:$A</definedName>
  </definedNames>
  <calcPr calcId="145621"/>
</workbook>
</file>

<file path=xl/calcChain.xml><?xml version="1.0" encoding="utf-8"?>
<calcChain xmlns="http://schemas.openxmlformats.org/spreadsheetml/2006/main">
  <c r="AZ20" i="1" l="1"/>
  <c r="AH17" i="1"/>
  <c r="AH7" i="1"/>
  <c r="AE7" i="1"/>
  <c r="G20" i="1"/>
  <c r="G7" i="1"/>
  <c r="AY9" i="1" l="1"/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6" i="1"/>
  <c r="BW28" i="1"/>
  <c r="BX28" i="1" s="1"/>
  <c r="BV28" i="1"/>
  <c r="BX7" i="1"/>
  <c r="BX8" i="1"/>
  <c r="BX9" i="1"/>
  <c r="BX10" i="1"/>
  <c r="BX11" i="1"/>
  <c r="BX12" i="1"/>
  <c r="BX13" i="1"/>
  <c r="BX14" i="1"/>
  <c r="BX15" i="1"/>
  <c r="BX16" i="1"/>
  <c r="BX17" i="1"/>
  <c r="BX18" i="1"/>
  <c r="BX19" i="1"/>
  <c r="BX20" i="1"/>
  <c r="BX21" i="1"/>
  <c r="BX22" i="1"/>
  <c r="BX23" i="1"/>
  <c r="BX24" i="1"/>
  <c r="BX25" i="1"/>
  <c r="BX26" i="1"/>
  <c r="BX6" i="1"/>
  <c r="BV23" i="1"/>
  <c r="BV19" i="1"/>
  <c r="BV14" i="1"/>
  <c r="BV13" i="1"/>
  <c r="BV12" i="1"/>
  <c r="BV10" i="1"/>
  <c r="BV9" i="1"/>
  <c r="BV8" i="1"/>
  <c r="BV6" i="1"/>
  <c r="BE22" i="1"/>
  <c r="BD22" i="1"/>
  <c r="BD21" i="1"/>
  <c r="BD19" i="1"/>
  <c r="BE18" i="1"/>
  <c r="BD18" i="1"/>
  <c r="BD17" i="1"/>
  <c r="BD15" i="1"/>
  <c r="BD14" i="1"/>
  <c r="BD13" i="1"/>
  <c r="BD12" i="1"/>
  <c r="BD11" i="1"/>
  <c r="BD10" i="1"/>
  <c r="BE9" i="1"/>
  <c r="BD9" i="1"/>
  <c r="BD8" i="1"/>
  <c r="BD7" i="1"/>
  <c r="BC6" i="1"/>
  <c r="AX27" i="1"/>
  <c r="AX23" i="1"/>
  <c r="AX22" i="1"/>
  <c r="AX19" i="1"/>
  <c r="AX18" i="1"/>
  <c r="AX17" i="1"/>
  <c r="AX15" i="1"/>
  <c r="AY14" i="1"/>
  <c r="AY13" i="1"/>
  <c r="AX13" i="1"/>
  <c r="AY12" i="1"/>
  <c r="AX12" i="1"/>
  <c r="AY11" i="1"/>
  <c r="AX11" i="1"/>
  <c r="AY10" i="1"/>
  <c r="AX10" i="1"/>
  <c r="AX9" i="1"/>
  <c r="AY8" i="1"/>
  <c r="AX8" i="1"/>
  <c r="AX7" i="1"/>
  <c r="AY6" i="1"/>
  <c r="AX6" i="1"/>
  <c r="AS23" i="1"/>
  <c r="AS22" i="1"/>
  <c r="AS21" i="1"/>
  <c r="AS20" i="1"/>
  <c r="AS19" i="1"/>
  <c r="AR19" i="1"/>
  <c r="AS18" i="1"/>
  <c r="AS17" i="1"/>
  <c r="AS16" i="1"/>
  <c r="AS15" i="1"/>
  <c r="AS14" i="1"/>
  <c r="AR14" i="1"/>
  <c r="AS13" i="1"/>
  <c r="AR13" i="1"/>
  <c r="AS12" i="1"/>
  <c r="AR12" i="1"/>
  <c r="AS11" i="1"/>
  <c r="AS10" i="1"/>
  <c r="AS9" i="1"/>
  <c r="AR9" i="1"/>
  <c r="AS8" i="1"/>
  <c r="AR8" i="1"/>
  <c r="AS7" i="1"/>
  <c r="AR7" i="1"/>
  <c r="AS6" i="1"/>
  <c r="AR6" i="1"/>
  <c r="AJ6" i="1"/>
  <c r="AG9" i="1"/>
  <c r="AF9" i="1"/>
  <c r="AF6" i="1"/>
  <c r="AD22" i="1"/>
  <c r="AC22" i="1"/>
  <c r="AD19" i="1"/>
  <c r="AC19" i="1"/>
  <c r="AD8" i="1"/>
  <c r="AC8" i="1"/>
  <c r="AC7" i="1"/>
  <c r="AD6" i="1"/>
  <c r="X19" i="1"/>
  <c r="X14" i="1"/>
  <c r="X9" i="1"/>
  <c r="W9" i="1"/>
  <c r="X6" i="1"/>
  <c r="V15" i="1"/>
  <c r="V14" i="1"/>
  <c r="Q21" i="1"/>
  <c r="K23" i="1"/>
  <c r="K22" i="1"/>
  <c r="L21" i="1"/>
  <c r="L19" i="1"/>
  <c r="L18" i="1"/>
  <c r="L17" i="1"/>
  <c r="K16" i="1"/>
  <c r="K15" i="1"/>
  <c r="L14" i="1"/>
  <c r="K14" i="1"/>
  <c r="L13" i="1"/>
  <c r="L12" i="1"/>
  <c r="K12" i="1"/>
  <c r="L11" i="1"/>
  <c r="L10" i="1"/>
  <c r="K10" i="1"/>
  <c r="L9" i="1"/>
  <c r="K9" i="1"/>
  <c r="L8" i="1"/>
  <c r="K8" i="1"/>
  <c r="L6" i="1"/>
  <c r="K6" i="1"/>
  <c r="E22" i="1"/>
  <c r="F19" i="1"/>
  <c r="E19" i="1"/>
  <c r="F18" i="1"/>
  <c r="F15" i="1"/>
  <c r="F14" i="1"/>
  <c r="E14" i="1"/>
  <c r="F13" i="1"/>
  <c r="F12" i="1"/>
  <c r="F11" i="1"/>
  <c r="F9" i="1"/>
  <c r="E9" i="1"/>
  <c r="F6" i="1"/>
  <c r="E6" i="1"/>
  <c r="BI23" i="1" l="1"/>
  <c r="AN7" i="1"/>
  <c r="S7" i="1"/>
  <c r="V7" i="1" l="1"/>
  <c r="BS27" i="1" l="1"/>
  <c r="BU24" i="1" l="1"/>
  <c r="BU25" i="1"/>
  <c r="BU26" i="1"/>
  <c r="BU27" i="1"/>
  <c r="BU8" i="1"/>
  <c r="BU9" i="1"/>
  <c r="BU6" i="1"/>
  <c r="BT28" i="1" l="1"/>
  <c r="BS28" i="1"/>
  <c r="AS28" i="1" l="1"/>
  <c r="AT21" i="1" l="1"/>
  <c r="AT19" i="1"/>
  <c r="AT17" i="1"/>
  <c r="AT16" i="1"/>
  <c r="AT14" i="1"/>
  <c r="AT13" i="1"/>
  <c r="AT9" i="1"/>
  <c r="AT8" i="1"/>
  <c r="AT22" i="1"/>
  <c r="AT20" i="1"/>
  <c r="AT18" i="1"/>
  <c r="AT15" i="1"/>
  <c r="AT12" i="1"/>
  <c r="AT7" i="1"/>
  <c r="AT23" i="1" l="1"/>
  <c r="AT10" i="1"/>
  <c r="AT11" i="1"/>
  <c r="C28" i="1"/>
  <c r="AR28" i="1"/>
  <c r="AT28" i="1" s="1"/>
  <c r="AT6" i="1"/>
  <c r="BQ28" i="1" l="1"/>
  <c r="BP28" i="1"/>
  <c r="BR22" i="1"/>
  <c r="BR19" i="1"/>
  <c r="BR12" i="1"/>
  <c r="BR9" i="1"/>
  <c r="BR8" i="1"/>
  <c r="AB26" i="1"/>
  <c r="AB25" i="1"/>
  <c r="AB24" i="1"/>
  <c r="AB21" i="1"/>
  <c r="AB17" i="1"/>
  <c r="BR28" i="1" l="1"/>
  <c r="BO18" i="1" l="1"/>
  <c r="BO17" i="1"/>
  <c r="BO15" i="1"/>
  <c r="BO14" i="1"/>
  <c r="BO7" i="1"/>
  <c r="BI13" i="1"/>
  <c r="BI15" i="1"/>
  <c r="BI17" i="1"/>
  <c r="BI9" i="1"/>
  <c r="AH22" i="1"/>
  <c r="AH19" i="1"/>
  <c r="AH13" i="1"/>
  <c r="AH12" i="1"/>
  <c r="Y13" i="1"/>
  <c r="Y16" i="1"/>
  <c r="Y17" i="1"/>
  <c r="Y18" i="1"/>
  <c r="Y22" i="1"/>
  <c r="Y23" i="1"/>
  <c r="Y24" i="1"/>
  <c r="Y25" i="1"/>
  <c r="Y26" i="1"/>
  <c r="Y19" i="1"/>
  <c r="Y14" i="1"/>
  <c r="V8" i="1"/>
  <c r="V9" i="1"/>
  <c r="B28" i="1" l="1"/>
  <c r="P15" i="1"/>
  <c r="G22" i="1"/>
  <c r="Y9" i="1" l="1"/>
  <c r="Y10" i="1"/>
  <c r="BI22" i="1" l="1"/>
  <c r="BI6" i="1"/>
  <c r="BL7" i="1" l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F7" i="1"/>
  <c r="BF8" i="1"/>
  <c r="BF9" i="1"/>
  <c r="BF10" i="1"/>
  <c r="BF11" i="1"/>
  <c r="BF12" i="1"/>
  <c r="BF13" i="1"/>
  <c r="BF14" i="1"/>
  <c r="BF15" i="1"/>
  <c r="BF17" i="1"/>
  <c r="BF18" i="1"/>
  <c r="BF19" i="1"/>
  <c r="BF21" i="1"/>
  <c r="BF22" i="1"/>
  <c r="BF24" i="1"/>
  <c r="BF25" i="1"/>
  <c r="BF26" i="1"/>
  <c r="BC20" i="1"/>
  <c r="BC24" i="1"/>
  <c r="BC25" i="1"/>
  <c r="BC2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1" i="1"/>
  <c r="AZ22" i="1"/>
  <c r="AZ23" i="1"/>
  <c r="AZ24" i="1"/>
  <c r="AZ25" i="1"/>
  <c r="AZ26" i="1"/>
  <c r="AW7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H8" i="1"/>
  <c r="AH9" i="1"/>
  <c r="AH10" i="1"/>
  <c r="AH14" i="1"/>
  <c r="AH15" i="1"/>
  <c r="AH18" i="1"/>
  <c r="AH24" i="1"/>
  <c r="AH25" i="1"/>
  <c r="AH26" i="1"/>
  <c r="BO9" i="1"/>
  <c r="BO10" i="1"/>
  <c r="BO11" i="1"/>
  <c r="BO12" i="1"/>
  <c r="BO13" i="1"/>
  <c r="BO19" i="1"/>
  <c r="BO21" i="1"/>
  <c r="BO22" i="1"/>
  <c r="BO24" i="1"/>
  <c r="BO25" i="1"/>
  <c r="BO26" i="1"/>
  <c r="BL6" i="1"/>
  <c r="AZ6" i="1"/>
  <c r="AW6" i="1"/>
  <c r="AQ6" i="1"/>
  <c r="AN6" i="1"/>
  <c r="AK6" i="1"/>
  <c r="AH6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6" i="1"/>
  <c r="Y7" i="1"/>
  <c r="Y8" i="1"/>
  <c r="Y11" i="1"/>
  <c r="Y12" i="1"/>
  <c r="Y6" i="1"/>
  <c r="V24" i="1"/>
  <c r="V25" i="1"/>
  <c r="V26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6" i="1"/>
  <c r="G9" i="1"/>
  <c r="G10" i="1"/>
  <c r="G11" i="1"/>
  <c r="G12" i="1"/>
  <c r="G13" i="1"/>
  <c r="G14" i="1"/>
  <c r="G15" i="1"/>
  <c r="G17" i="1"/>
  <c r="G18" i="1"/>
  <c r="G19" i="1"/>
  <c r="G21" i="1"/>
  <c r="G23" i="1"/>
  <c r="G24" i="1"/>
  <c r="G25" i="1"/>
  <c r="G26" i="1"/>
  <c r="G8" i="1" l="1"/>
  <c r="G6" i="1" l="1"/>
  <c r="BI24" i="1" l="1"/>
  <c r="BI25" i="1"/>
  <c r="BI26" i="1"/>
  <c r="D6" i="1" l="1"/>
  <c r="BM28" i="1"/>
  <c r="BN28" i="1"/>
  <c r="D27" i="1" l="1"/>
  <c r="D25" i="1"/>
  <c r="D23" i="1"/>
  <c r="D21" i="1"/>
  <c r="D19" i="1"/>
  <c r="D17" i="1"/>
  <c r="D15" i="1"/>
  <c r="D13" i="1"/>
  <c r="D11" i="1"/>
  <c r="BO28" i="1"/>
  <c r="D26" i="1"/>
  <c r="D24" i="1"/>
  <c r="D22" i="1"/>
  <c r="D20" i="1"/>
  <c r="D18" i="1"/>
  <c r="D16" i="1"/>
  <c r="D14" i="1"/>
  <c r="D12" i="1"/>
  <c r="D10" i="1"/>
  <c r="D8" i="1"/>
  <c r="D7" i="1"/>
  <c r="D9" i="1"/>
  <c r="BI27" i="1" l="1"/>
  <c r="BG28" i="1"/>
  <c r="BH28" i="1"/>
  <c r="BJ28" i="1"/>
  <c r="BK28" i="1"/>
  <c r="BI28" i="1" l="1"/>
  <c r="BL28" i="1"/>
  <c r="AL28" i="1"/>
  <c r="AG28" i="1"/>
  <c r="AQ7" i="1" l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O28" i="1" l="1"/>
  <c r="AP28" i="1"/>
  <c r="AQ28" i="1"/>
  <c r="AU28" i="1"/>
  <c r="AV28" i="1"/>
  <c r="AX28" i="1"/>
  <c r="AY28" i="1"/>
  <c r="BA28" i="1"/>
  <c r="BB28" i="1"/>
  <c r="BD28" i="1"/>
  <c r="BE28" i="1"/>
  <c r="AM28" i="1"/>
  <c r="AI28" i="1"/>
  <c r="AJ28" i="1"/>
  <c r="AF28" i="1"/>
  <c r="R28" i="1"/>
  <c r="T28" i="1"/>
  <c r="U28" i="1"/>
  <c r="W28" i="1"/>
  <c r="X28" i="1"/>
  <c r="Z28" i="1"/>
  <c r="AA28" i="1"/>
  <c r="AC28" i="1"/>
  <c r="AD28" i="1"/>
  <c r="O28" i="1"/>
  <c r="L28" i="1"/>
  <c r="I28" i="1"/>
  <c r="F28" i="1"/>
  <c r="BF28" i="1" l="1"/>
  <c r="V28" i="1"/>
  <c r="AB28" i="1"/>
  <c r="AK28" i="1"/>
  <c r="BC28" i="1"/>
  <c r="AW28" i="1"/>
  <c r="AZ28" i="1"/>
  <c r="AH28" i="1"/>
  <c r="AE28" i="1"/>
  <c r="Y28" i="1"/>
  <c r="AN28" i="1"/>
  <c r="H28" i="1" l="1"/>
  <c r="K28" i="1"/>
  <c r="N28" i="1"/>
  <c r="Q28" i="1"/>
  <c r="M28" i="1" l="1"/>
  <c r="J28" i="1"/>
  <c r="S28" i="1"/>
  <c r="P28" i="1"/>
  <c r="E28" i="1" l="1"/>
  <c r="G28" i="1" l="1"/>
  <c r="D28" i="1" l="1"/>
</calcChain>
</file>

<file path=xl/sharedStrings.xml><?xml version="1.0" encoding="utf-8"?>
<sst xmlns="http://schemas.openxmlformats.org/spreadsheetml/2006/main" count="175" uniqueCount="56">
  <si>
    <t>Городской округ "Город Южно-Сахалинск"</t>
  </si>
  <si>
    <t>0,00</t>
  </si>
  <si>
    <t>Городской округ "Охинский"</t>
  </si>
  <si>
    <t>Поронайский городской округ</t>
  </si>
  <si>
    <t>"Анивский городской округ"</t>
  </si>
  <si>
    <t>"Курильский городской округ"</t>
  </si>
  <si>
    <t>"Городской округ Ногликский"</t>
  </si>
  <si>
    <t>Городской округ "Смирныховский"</t>
  </si>
  <si>
    <t>Северо-Курильский городской округ</t>
  </si>
  <si>
    <t>"Тымовский городской округ"</t>
  </si>
  <si>
    <t>"Южно-Курильский городской округ"</t>
  </si>
  <si>
    <t>Углегорское городское поселение Углегорского муниципального района Сахалинской области</t>
  </si>
  <si>
    <t>Шахтерское городское поселение Углегорского муниципального района Сахалинской области</t>
  </si>
  <si>
    <t>Бошняковское сельское поселение Углегорского муниципального района Сахалинской области</t>
  </si>
  <si>
    <t>Нераспределенная сумма</t>
  </si>
  <si>
    <t>Всего</t>
  </si>
  <si>
    <t xml:space="preserve"> </t>
  </si>
  <si>
    <t>кассовое исполнение</t>
  </si>
  <si>
    <t xml:space="preserve">план  </t>
  </si>
  <si>
    <t>Кассовое исполнение</t>
  </si>
  <si>
    <t>% исполнения</t>
  </si>
  <si>
    <t>"Невельской городской округ"</t>
  </si>
  <si>
    <t>Углегорский городской округ</t>
  </si>
  <si>
    <t xml:space="preserve">на обеспечение доступности приоритетных объектов и услуг в приоритетных сферах жизнедеятельности на территории муниципальных образований  </t>
  </si>
  <si>
    <t xml:space="preserve">на осуществление мероприятий по повышению качества предоставляемых жилищно-коммунальных услуг  </t>
  </si>
  <si>
    <t xml:space="preserve">на создание условий для развития туризма  </t>
  </si>
  <si>
    <t xml:space="preserve">на реализацию мероприятий по охране окружающей среды, экологической реабилитации и воспроизводству природных объектов  </t>
  </si>
  <si>
    <t xml:space="preserve">на софинансирование расходов муниципальных образований в сфере транспорта и дорожного хозяйства  </t>
  </si>
  <si>
    <t xml:space="preserve">на осуществление функций административного центра Сахалинской области  </t>
  </si>
  <si>
    <t xml:space="preserve">на поддержку муниципальных программ формирования современной городской среды  </t>
  </si>
  <si>
    <t xml:space="preserve">на развитие агропромышленного комплекса  </t>
  </si>
  <si>
    <t xml:space="preserve">софинансирование капитальных вложений в объекты муниципальной собственности  </t>
  </si>
  <si>
    <t xml:space="preserve">на проведение комплекса мероприятий по борьбе с борщевиком Сосновского на территории Сахалинской области  </t>
  </si>
  <si>
    <t xml:space="preserve">на реализацию мероприятий по обустройству (созданию) мест (площадок) накопления твердых коммунальных отходов  </t>
  </si>
  <si>
    <t xml:space="preserve">на проведение комплексных кадастровых работ  </t>
  </si>
  <si>
    <t xml:space="preserve">на реализацию инициативных проектов в Сахалинской области  </t>
  </si>
  <si>
    <t xml:space="preserve"> на обеспечение населения качественным жильем
  </t>
  </si>
  <si>
    <t xml:space="preserve">на улучшение жилищных условий граждан, проживающих на сельских территориях
  </t>
  </si>
  <si>
    <t xml:space="preserve">на реализацию в Сахалинской области общественно значимых проектов в рамках проекта "Молодежный бюджет" </t>
  </si>
  <si>
    <t xml:space="preserve">Городской округ "Александровск-Сахалинский район"  </t>
  </si>
  <si>
    <t xml:space="preserve">Городской округ "Долинский"  </t>
  </si>
  <si>
    <t xml:space="preserve">"Корсаковский городской округ" </t>
  </si>
  <si>
    <t xml:space="preserve">"Томаринский городской округ"  </t>
  </si>
  <si>
    <t>ВСЕГО субсидии 2022 год</t>
  </si>
  <si>
    <t>на реализацию мероприятий по благоустройству сельских территорий</t>
  </si>
  <si>
    <t xml:space="preserve">организация электро-, тепло-, газоснабжения  </t>
  </si>
  <si>
    <t xml:space="preserve">на развитие культуры  </t>
  </si>
  <si>
    <t xml:space="preserve">на развитие образования  </t>
  </si>
  <si>
    <t xml:space="preserve">на развитие физической культуры и спорта  </t>
  </si>
  <si>
    <t xml:space="preserve">на софинансирование мероприятий муниципальных программ по поддержке и развитию субъектов малого и среднего предпринимательства, физических лиц, не являющихся индивидуальными предпринимателями и применяющих специальный налоговый режим "Налог на профессиональный доход", организаций, образующих инфраструктуру поддержки субъектов малого и среднего предпринимательства  </t>
  </si>
  <si>
    <t xml:space="preserve">на софинансирование капитальных вложений в объекты муниципальной собственности, реализуемые в рамках концессионных соглашений
</t>
  </si>
  <si>
    <t xml:space="preserve">"Холмский городской округ"  </t>
  </si>
  <si>
    <t xml:space="preserve">"Макаровский городской округ"  </t>
  </si>
  <si>
    <t xml:space="preserve">Приложение № 5 к заключению на отчет об исполнении областного бюджета за 9 месяцев 2022 года </t>
  </si>
  <si>
    <t>на реализацию мероприятий по созданию условий для управления многоквартирными домами</t>
  </si>
  <si>
    <t>Анализ исполнение субсидий, предоставляемых муниципальным образованиям Сахалинской области за 9 месяцев 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</si>
</sst>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_р_."/>
    <numFmt numFmtId="165" formatCode="#,##0.0"/>
    <numFmt numFmtId="166" formatCode="#,##0.0\ _₽"/>
    <numFmt numFmtId="167" formatCode="_-* #,##0.0\ _₽_-;\-* #,##0.0\ _₽_-;_-* &quot;-&quot;??\ _₽_-;_-@_-"/>
  </numFmts>
  <fonts count="9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top" wrapText="1"/>
    </xf>
    <xf numFmtId="43" fontId="8" fillId="0" borderId="0" applyFont="0" applyFill="0" applyBorder="0" applyAlignment="0" applyProtection="0"/>
    <xf numFmtId="0" fontId="5" fillId="0" borderId="0">
      <alignment vertical="top" wrapText="1"/>
    </xf>
  </cellStyleXfs>
  <cellXfs count="41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164" fontId="0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right" wrapText="1"/>
    </xf>
    <xf numFmtId="166" fontId="2" fillId="0" borderId="1" xfId="0" applyNumberFormat="1" applyFont="1" applyFill="1" applyBorder="1" applyAlignment="1">
      <alignment horizontal="right" wrapText="1"/>
    </xf>
    <xf numFmtId="0" fontId="7" fillId="0" borderId="3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right" wrapText="1"/>
    </xf>
    <xf numFmtId="165" fontId="2" fillId="0" borderId="1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 applyFont="1" applyFill="1" applyBorder="1" applyAlignment="1">
      <alignment horizontal="left" wrapText="1"/>
    </xf>
    <xf numFmtId="165" fontId="0" fillId="0" borderId="1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165" fontId="0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167" fontId="0" fillId="0" borderId="0" xfId="1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165" fontId="5" fillId="0" borderId="0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right" wrapText="1"/>
    </xf>
    <xf numFmtId="166" fontId="2" fillId="0" borderId="1" xfId="0" applyNumberFormat="1" applyFont="1" applyBorder="1" applyAlignment="1">
      <alignment horizontal="right" wrapText="1"/>
    </xf>
    <xf numFmtId="164" fontId="6" fillId="0" borderId="1" xfId="0" applyNumberFormat="1" applyFont="1" applyBorder="1" applyAlignment="1">
      <alignment horizontal="right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7" fillId="0" borderId="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40"/>
  <sheetViews>
    <sheetView tabSelected="1" zoomScaleNormal="100" workbookViewId="0">
      <pane xSplit="1" ySplit="4" topLeftCell="B14" activePane="bottomRight" state="frozen"/>
      <selection pane="topRight" activeCell="B1" sqref="B1"/>
      <selection pane="bottomLeft" activeCell="A5" sqref="A5"/>
      <selection pane="bottomRight" activeCell="AZ19" sqref="AZ19:AZ20"/>
    </sheetView>
  </sheetViews>
  <sheetFormatPr defaultRowHeight="13.2" x14ac:dyDescent="0.25"/>
  <cols>
    <col min="1" max="1" width="40" customWidth="1"/>
    <col min="2" max="2" width="17.77734375" style="3" customWidth="1"/>
    <col min="3" max="3" width="17.109375" style="3" customWidth="1"/>
    <col min="4" max="4" width="9.77734375" style="3" customWidth="1"/>
    <col min="5" max="5" width="14.33203125" style="3" customWidth="1"/>
    <col min="6" max="6" width="13.5546875" style="3" customWidth="1"/>
    <col min="7" max="7" width="8.77734375" style="3" customWidth="1"/>
    <col min="8" max="8" width="13.77734375" style="3" customWidth="1"/>
    <col min="9" max="9" width="14.109375" style="3" customWidth="1"/>
    <col min="10" max="10" width="8.77734375" style="3" customWidth="1"/>
    <col min="11" max="12" width="15.33203125" style="3" customWidth="1"/>
    <col min="13" max="13" width="8.44140625" style="3" customWidth="1"/>
    <col min="14" max="14" width="13.109375" style="3" customWidth="1"/>
    <col min="15" max="15" width="13.6640625" style="3" customWidth="1"/>
    <col min="16" max="16" width="8.6640625" style="3" customWidth="1"/>
    <col min="17" max="17" width="15.109375" style="3" customWidth="1"/>
    <col min="18" max="18" width="15.6640625" style="3" customWidth="1"/>
    <col min="19" max="19" width="8.44140625" style="3" customWidth="1"/>
    <col min="20" max="20" width="14.6640625" style="3" customWidth="1"/>
    <col min="21" max="21" width="15" style="3" customWidth="1"/>
    <col min="22" max="22" width="8.6640625" style="3" customWidth="1"/>
    <col min="23" max="23" width="14.6640625" style="3" customWidth="1"/>
    <col min="24" max="24" width="15.6640625" style="3" customWidth="1"/>
    <col min="25" max="25" width="8.33203125" style="3" customWidth="1"/>
    <col min="26" max="26" width="13.44140625" style="3" customWidth="1"/>
    <col min="27" max="27" width="13.77734375" style="3" customWidth="1"/>
    <col min="28" max="28" width="8.6640625" style="3" customWidth="1"/>
    <col min="29" max="29" width="14.109375" style="3" customWidth="1"/>
    <col min="30" max="30" width="14" style="3" customWidth="1"/>
    <col min="31" max="31" width="8.77734375" style="3" customWidth="1"/>
    <col min="32" max="32" width="14.44140625" style="3" customWidth="1"/>
    <col min="33" max="33" width="14.77734375" style="3" customWidth="1"/>
    <col min="34" max="34" width="8.109375" style="3" customWidth="1"/>
    <col min="35" max="35" width="16" style="3" customWidth="1"/>
    <col min="36" max="36" width="15.6640625" style="3" customWidth="1"/>
    <col min="37" max="37" width="8.6640625" style="3" customWidth="1"/>
    <col min="38" max="38" width="18.6640625" style="3" customWidth="1"/>
    <col min="39" max="39" width="19" style="3" customWidth="1"/>
    <col min="40" max="40" width="11.21875" style="3" customWidth="1"/>
    <col min="41" max="41" width="13.5546875" style="3" customWidth="1"/>
    <col min="42" max="42" width="13" style="3" customWidth="1"/>
    <col min="43" max="43" width="8.33203125" style="3" customWidth="1"/>
    <col min="44" max="44" width="14.21875" style="2" customWidth="1"/>
    <col min="45" max="45" width="13" style="2" customWidth="1"/>
    <col min="46" max="46" width="9.33203125" style="2" customWidth="1"/>
    <col min="47" max="47" width="13.77734375" style="3" customWidth="1"/>
    <col min="48" max="48" width="13.88671875" style="3" customWidth="1"/>
    <col min="49" max="49" width="8.109375" style="3" customWidth="1"/>
    <col min="50" max="51" width="16.44140625" style="3" customWidth="1"/>
    <col min="52" max="52" width="8.77734375" style="3" customWidth="1"/>
    <col min="53" max="53" width="13.6640625" style="3" customWidth="1"/>
    <col min="54" max="54" width="14" style="3" customWidth="1"/>
    <col min="55" max="55" width="8.88671875" style="3" customWidth="1"/>
    <col min="56" max="56" width="14.109375" style="3" customWidth="1"/>
    <col min="57" max="57" width="13.77734375" style="3" customWidth="1"/>
    <col min="58" max="58" width="8.77734375" style="3" customWidth="1"/>
    <col min="59" max="59" width="13.109375" customWidth="1"/>
    <col min="60" max="60" width="14.109375" customWidth="1"/>
    <col min="61" max="61" width="8.33203125" customWidth="1"/>
    <col min="62" max="62" width="12.109375" customWidth="1"/>
    <col min="63" max="63" width="12.6640625" customWidth="1"/>
    <col min="64" max="64" width="8.44140625" customWidth="1"/>
    <col min="65" max="65" width="12" style="2" customWidth="1"/>
    <col min="66" max="66" width="12.109375" style="2" customWidth="1"/>
    <col min="67" max="67" width="8.109375" style="2" customWidth="1"/>
    <col min="68" max="68" width="10.5546875" style="2" customWidth="1"/>
    <col min="69" max="69" width="9.77734375" style="2" customWidth="1"/>
    <col min="70" max="70" width="9.33203125" style="2" customWidth="1"/>
    <col min="71" max="71" width="12.88671875" style="2" customWidth="1"/>
    <col min="72" max="73" width="9.33203125" style="2" customWidth="1"/>
    <col min="74" max="74" width="11" style="2" customWidth="1"/>
    <col min="75" max="75" width="10.6640625" customWidth="1"/>
  </cols>
  <sheetData>
    <row r="1" spans="1:76" s="2" customFormat="1" ht="34.950000000000003" customHeight="1" x14ac:dyDescent="0.25">
      <c r="B1" s="3"/>
      <c r="C1" s="3"/>
      <c r="D1" s="3"/>
      <c r="E1" s="3"/>
      <c r="F1" s="3"/>
      <c r="G1" s="3"/>
      <c r="H1" s="3"/>
      <c r="I1" s="37" t="s">
        <v>53</v>
      </c>
      <c r="J1" s="37"/>
      <c r="K1" s="37"/>
      <c r="L1" s="37"/>
      <c r="M1" s="37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</row>
    <row r="2" spans="1:76" s="2" customFormat="1" ht="27.6" customHeight="1" x14ac:dyDescent="0.25">
      <c r="A2" s="10"/>
      <c r="B2" s="38" t="s">
        <v>55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76" s="1" customFormat="1" ht="123.6" customHeight="1" x14ac:dyDescent="0.25">
      <c r="A3" s="35"/>
      <c r="B3" s="35" t="s">
        <v>43</v>
      </c>
      <c r="C3" s="35" t="s">
        <v>19</v>
      </c>
      <c r="D3" s="35" t="s">
        <v>20</v>
      </c>
      <c r="E3" s="35" t="s">
        <v>47</v>
      </c>
      <c r="F3" s="35"/>
      <c r="G3" s="35"/>
      <c r="H3" s="35" t="s">
        <v>23</v>
      </c>
      <c r="I3" s="35"/>
      <c r="J3" s="35"/>
      <c r="K3" s="35" t="s">
        <v>36</v>
      </c>
      <c r="L3" s="35"/>
      <c r="M3" s="35"/>
      <c r="N3" s="35" t="s">
        <v>37</v>
      </c>
      <c r="O3" s="35"/>
      <c r="P3" s="35"/>
      <c r="Q3" s="35" t="s">
        <v>24</v>
      </c>
      <c r="R3" s="35"/>
      <c r="S3" s="35"/>
      <c r="T3" s="35" t="s">
        <v>25</v>
      </c>
      <c r="U3" s="35"/>
      <c r="V3" s="35"/>
      <c r="W3" s="35" t="s">
        <v>46</v>
      </c>
      <c r="X3" s="35"/>
      <c r="Y3" s="35"/>
      <c r="Z3" s="35" t="s">
        <v>26</v>
      </c>
      <c r="AA3" s="35"/>
      <c r="AB3" s="35"/>
      <c r="AC3" s="35" t="s">
        <v>48</v>
      </c>
      <c r="AD3" s="35"/>
      <c r="AE3" s="35"/>
      <c r="AF3" s="35" t="s">
        <v>45</v>
      </c>
      <c r="AG3" s="35"/>
      <c r="AH3" s="35"/>
      <c r="AI3" s="35" t="s">
        <v>27</v>
      </c>
      <c r="AJ3" s="35"/>
      <c r="AK3" s="35"/>
      <c r="AL3" s="35" t="s">
        <v>49</v>
      </c>
      <c r="AM3" s="35"/>
      <c r="AN3" s="35"/>
      <c r="AO3" s="35" t="s">
        <v>28</v>
      </c>
      <c r="AP3" s="35"/>
      <c r="AQ3" s="35"/>
      <c r="AR3" s="35" t="s">
        <v>29</v>
      </c>
      <c r="AS3" s="35"/>
      <c r="AT3" s="35"/>
      <c r="AU3" s="35" t="s">
        <v>30</v>
      </c>
      <c r="AV3" s="35"/>
      <c r="AW3" s="35"/>
      <c r="AX3" s="35" t="s">
        <v>31</v>
      </c>
      <c r="AY3" s="35"/>
      <c r="AZ3" s="35"/>
      <c r="BA3" s="35" t="s">
        <v>32</v>
      </c>
      <c r="BB3" s="35"/>
      <c r="BC3" s="35"/>
      <c r="BD3" s="35" t="s">
        <v>33</v>
      </c>
      <c r="BE3" s="35"/>
      <c r="BF3" s="35"/>
      <c r="BG3" s="35" t="s">
        <v>34</v>
      </c>
      <c r="BH3" s="35"/>
      <c r="BI3" s="35"/>
      <c r="BJ3" s="35" t="s">
        <v>38</v>
      </c>
      <c r="BK3" s="35"/>
      <c r="BL3" s="35"/>
      <c r="BM3" s="35" t="s">
        <v>35</v>
      </c>
      <c r="BN3" s="35"/>
      <c r="BO3" s="35"/>
      <c r="BP3" s="35" t="s">
        <v>44</v>
      </c>
      <c r="BQ3" s="35"/>
      <c r="BR3" s="35"/>
      <c r="BS3" s="35" t="s">
        <v>50</v>
      </c>
      <c r="BT3" s="39"/>
      <c r="BU3" s="39"/>
      <c r="BV3" s="35" t="s">
        <v>54</v>
      </c>
      <c r="BW3" s="35"/>
      <c r="BX3" s="35"/>
    </row>
    <row r="4" spans="1:76" s="1" customFormat="1" ht="43.95" customHeight="1" x14ac:dyDescent="0.25">
      <c r="A4" s="35"/>
      <c r="B4" s="35"/>
      <c r="C4" s="35"/>
      <c r="D4" s="35"/>
      <c r="E4" s="14" t="s">
        <v>18</v>
      </c>
      <c r="F4" s="14" t="s">
        <v>17</v>
      </c>
      <c r="G4" s="30" t="s">
        <v>20</v>
      </c>
      <c r="H4" s="14" t="s">
        <v>18</v>
      </c>
      <c r="I4" s="14" t="s">
        <v>17</v>
      </c>
      <c r="J4" s="30" t="s">
        <v>20</v>
      </c>
      <c r="K4" s="14" t="s">
        <v>18</v>
      </c>
      <c r="L4" s="14" t="s">
        <v>17</v>
      </c>
      <c r="M4" s="30" t="s">
        <v>20</v>
      </c>
      <c r="N4" s="14" t="s">
        <v>18</v>
      </c>
      <c r="O4" s="14" t="s">
        <v>17</v>
      </c>
      <c r="P4" s="30" t="s">
        <v>20</v>
      </c>
      <c r="Q4" s="14" t="s">
        <v>18</v>
      </c>
      <c r="R4" s="14" t="s">
        <v>17</v>
      </c>
      <c r="S4" s="30" t="s">
        <v>20</v>
      </c>
      <c r="T4" s="14" t="s">
        <v>18</v>
      </c>
      <c r="U4" s="14" t="s">
        <v>17</v>
      </c>
      <c r="V4" s="30" t="s">
        <v>20</v>
      </c>
      <c r="W4" s="14" t="s">
        <v>18</v>
      </c>
      <c r="X4" s="14" t="s">
        <v>17</v>
      </c>
      <c r="Y4" s="30" t="s">
        <v>20</v>
      </c>
      <c r="Z4" s="14" t="s">
        <v>18</v>
      </c>
      <c r="AA4" s="14" t="s">
        <v>17</v>
      </c>
      <c r="AB4" s="30" t="s">
        <v>20</v>
      </c>
      <c r="AC4" s="14" t="s">
        <v>18</v>
      </c>
      <c r="AD4" s="14" t="s">
        <v>17</v>
      </c>
      <c r="AE4" s="30" t="s">
        <v>20</v>
      </c>
      <c r="AF4" s="14" t="s">
        <v>18</v>
      </c>
      <c r="AG4" s="14" t="s">
        <v>17</v>
      </c>
      <c r="AH4" s="30" t="s">
        <v>20</v>
      </c>
      <c r="AI4" s="14" t="s">
        <v>18</v>
      </c>
      <c r="AJ4" s="14" t="s">
        <v>17</v>
      </c>
      <c r="AK4" s="30" t="s">
        <v>20</v>
      </c>
      <c r="AL4" s="14" t="s">
        <v>18</v>
      </c>
      <c r="AM4" s="14" t="s">
        <v>17</v>
      </c>
      <c r="AN4" s="30" t="s">
        <v>20</v>
      </c>
      <c r="AO4" s="14" t="s">
        <v>18</v>
      </c>
      <c r="AP4" s="14" t="s">
        <v>17</v>
      </c>
      <c r="AQ4" s="30" t="s">
        <v>20</v>
      </c>
      <c r="AR4" s="14" t="s">
        <v>18</v>
      </c>
      <c r="AS4" s="14" t="s">
        <v>17</v>
      </c>
      <c r="AT4" s="30" t="s">
        <v>20</v>
      </c>
      <c r="AU4" s="14" t="s">
        <v>18</v>
      </c>
      <c r="AV4" s="14" t="s">
        <v>17</v>
      </c>
      <c r="AW4" s="30" t="s">
        <v>20</v>
      </c>
      <c r="AX4" s="14" t="s">
        <v>18</v>
      </c>
      <c r="AY4" s="14" t="s">
        <v>17</v>
      </c>
      <c r="AZ4" s="30" t="s">
        <v>20</v>
      </c>
      <c r="BA4" s="14" t="s">
        <v>18</v>
      </c>
      <c r="BB4" s="14" t="s">
        <v>17</v>
      </c>
      <c r="BC4" s="30" t="s">
        <v>20</v>
      </c>
      <c r="BD4" s="14" t="s">
        <v>18</v>
      </c>
      <c r="BE4" s="14" t="s">
        <v>17</v>
      </c>
      <c r="BF4" s="30" t="s">
        <v>20</v>
      </c>
      <c r="BG4" s="14" t="s">
        <v>18</v>
      </c>
      <c r="BH4" s="14" t="s">
        <v>17</v>
      </c>
      <c r="BI4" s="30" t="s">
        <v>20</v>
      </c>
      <c r="BJ4" s="14" t="s">
        <v>18</v>
      </c>
      <c r="BK4" s="14" t="s">
        <v>17</v>
      </c>
      <c r="BL4" s="30" t="s">
        <v>20</v>
      </c>
      <c r="BM4" s="14" t="s">
        <v>18</v>
      </c>
      <c r="BN4" s="14" t="s">
        <v>17</v>
      </c>
      <c r="BO4" s="30" t="s">
        <v>20</v>
      </c>
      <c r="BP4" s="14" t="s">
        <v>18</v>
      </c>
      <c r="BQ4" s="14" t="s">
        <v>17</v>
      </c>
      <c r="BR4" s="30" t="s">
        <v>20</v>
      </c>
      <c r="BS4" s="14" t="s">
        <v>18</v>
      </c>
      <c r="BT4" s="14" t="s">
        <v>17</v>
      </c>
      <c r="BU4" s="30" t="s">
        <v>20</v>
      </c>
      <c r="BV4" s="14" t="s">
        <v>18</v>
      </c>
      <c r="BW4" s="14" t="s">
        <v>17</v>
      </c>
      <c r="BX4" s="30" t="s">
        <v>20</v>
      </c>
    </row>
    <row r="5" spans="1:76" s="2" customFormat="1" x14ac:dyDescent="0.25">
      <c r="A5" s="31" t="s">
        <v>16</v>
      </c>
      <c r="B5" s="36" t="s">
        <v>16</v>
      </c>
      <c r="C5" s="36"/>
      <c r="D5" s="36"/>
      <c r="E5" s="36">
        <v>1</v>
      </c>
      <c r="F5" s="36"/>
      <c r="G5" s="36"/>
      <c r="H5" s="36">
        <v>2</v>
      </c>
      <c r="I5" s="36"/>
      <c r="J5" s="36"/>
      <c r="K5" s="36">
        <v>3</v>
      </c>
      <c r="L5" s="36"/>
      <c r="M5" s="36"/>
      <c r="N5" s="36">
        <v>4</v>
      </c>
      <c r="O5" s="36"/>
      <c r="P5" s="36"/>
      <c r="Q5" s="36">
        <v>5</v>
      </c>
      <c r="R5" s="36"/>
      <c r="S5" s="36"/>
      <c r="T5" s="36">
        <v>6</v>
      </c>
      <c r="U5" s="36"/>
      <c r="V5" s="36"/>
      <c r="W5" s="36">
        <v>7</v>
      </c>
      <c r="X5" s="36"/>
      <c r="Y5" s="36"/>
      <c r="Z5" s="36">
        <v>8</v>
      </c>
      <c r="AA5" s="36"/>
      <c r="AB5" s="36"/>
      <c r="AC5" s="36">
        <v>9</v>
      </c>
      <c r="AD5" s="36"/>
      <c r="AE5" s="36"/>
      <c r="AF5" s="36">
        <v>10</v>
      </c>
      <c r="AG5" s="36"/>
      <c r="AH5" s="36"/>
      <c r="AI5" s="36">
        <v>11</v>
      </c>
      <c r="AJ5" s="36"/>
      <c r="AK5" s="36"/>
      <c r="AL5" s="36">
        <v>12</v>
      </c>
      <c r="AM5" s="36"/>
      <c r="AN5" s="36"/>
      <c r="AO5" s="36">
        <v>13</v>
      </c>
      <c r="AP5" s="36"/>
      <c r="AQ5" s="36"/>
      <c r="AR5" s="36">
        <v>14</v>
      </c>
      <c r="AS5" s="36"/>
      <c r="AT5" s="36"/>
      <c r="AU5" s="36">
        <v>15</v>
      </c>
      <c r="AV5" s="36"/>
      <c r="AW5" s="36"/>
      <c r="AX5" s="36">
        <v>16</v>
      </c>
      <c r="AY5" s="36"/>
      <c r="AZ5" s="36"/>
      <c r="BA5" s="36">
        <v>17</v>
      </c>
      <c r="BB5" s="36"/>
      <c r="BC5" s="36"/>
      <c r="BD5" s="36">
        <v>18</v>
      </c>
      <c r="BE5" s="36"/>
      <c r="BF5" s="36"/>
      <c r="BG5" s="36">
        <v>19</v>
      </c>
      <c r="BH5" s="36"/>
      <c r="BI5" s="36"/>
      <c r="BJ5" s="36">
        <v>20</v>
      </c>
      <c r="BK5" s="36"/>
      <c r="BL5" s="36"/>
      <c r="BM5" s="36">
        <v>21</v>
      </c>
      <c r="BN5" s="36"/>
      <c r="BO5" s="36"/>
      <c r="BP5" s="36">
        <v>22</v>
      </c>
      <c r="BQ5" s="36"/>
      <c r="BR5" s="36"/>
      <c r="BS5" s="36">
        <v>23</v>
      </c>
      <c r="BT5" s="36"/>
      <c r="BU5" s="36"/>
      <c r="BV5" s="36">
        <v>24</v>
      </c>
      <c r="BW5" s="36"/>
      <c r="BX5" s="36"/>
    </row>
    <row r="6" spans="1:76" s="2" customFormat="1" ht="31.2" x14ac:dyDescent="0.3">
      <c r="A6" s="11" t="s">
        <v>0</v>
      </c>
      <c r="B6" s="8">
        <f>E6+H6+K6+N6+Q6+T6+W6+Z6+AC6+AF6+AI6+AL6+AO6+AR6+AU6+AX6+BA6+BD6+BG6+BJ6+BM6+BP6+BS6+BV6</f>
        <v>10019750.099999998</v>
      </c>
      <c r="C6" s="8">
        <f>F6+I6+L6+O6+R6+U6+X6+AA6+AD6+AG6+AJ6+AM6+AP6+AS6+AV6+AY6+BB6+BE6+BH6+BK6+BN6+BQ6+BT6+BW6</f>
        <v>5803078.2999999998</v>
      </c>
      <c r="D6" s="8">
        <f>C6/B6*100</f>
        <v>57.916397535703027</v>
      </c>
      <c r="E6" s="18">
        <f>332642.7+7632.4</f>
        <v>340275.10000000003</v>
      </c>
      <c r="F6" s="32">
        <f>55153.3+138347.4</f>
        <v>193500.7</v>
      </c>
      <c r="G6" s="8">
        <f>F6/E6*100</f>
        <v>56.865959337018779</v>
      </c>
      <c r="H6" s="32">
        <v>8785.7000000000007</v>
      </c>
      <c r="I6" s="33">
        <v>3352.9</v>
      </c>
      <c r="J6" s="8">
        <f>I6/H6*100</f>
        <v>38.163151484799165</v>
      </c>
      <c r="K6" s="18">
        <f>1283582.4+6435</f>
        <v>1290017.3999999999</v>
      </c>
      <c r="L6" s="8">
        <f>1159346.8+28376</f>
        <v>1187722.8</v>
      </c>
      <c r="M6" s="8">
        <f>L6/K6*100</f>
        <v>92.070293005350166</v>
      </c>
      <c r="N6" s="32">
        <v>0</v>
      </c>
      <c r="O6" s="32">
        <v>0</v>
      </c>
      <c r="P6" s="8">
        <v>0</v>
      </c>
      <c r="Q6" s="32">
        <v>239925.5</v>
      </c>
      <c r="R6" s="32">
        <v>64770.6</v>
      </c>
      <c r="S6" s="8">
        <f>R6/Q6*100</f>
        <v>26.996130048702614</v>
      </c>
      <c r="T6" s="8">
        <v>0</v>
      </c>
      <c r="U6" s="8">
        <v>0</v>
      </c>
      <c r="V6" s="8">
        <v>0</v>
      </c>
      <c r="W6" s="40">
        <v>11215.7</v>
      </c>
      <c r="X6" s="32">
        <f>2754.4+8461.3</f>
        <v>11215.699999999999</v>
      </c>
      <c r="Y6" s="8">
        <f>X6/W6*100</f>
        <v>99.999999999999986</v>
      </c>
      <c r="Z6" s="8">
        <v>0</v>
      </c>
      <c r="AA6" s="8">
        <v>0</v>
      </c>
      <c r="AB6" s="8">
        <v>0</v>
      </c>
      <c r="AC6" s="8">
        <v>23648.5</v>
      </c>
      <c r="AD6" s="8">
        <f>2260.5+1446.3</f>
        <v>3706.8</v>
      </c>
      <c r="AE6" s="8">
        <f>AD6/AC6*100</f>
        <v>15.674567097278899</v>
      </c>
      <c r="AF6" s="18">
        <f>384600.9+8910</f>
        <v>393510.9</v>
      </c>
      <c r="AG6" s="8">
        <v>173329.6</v>
      </c>
      <c r="AH6" s="8">
        <f>AG6/AF6*100</f>
        <v>44.046962866848162</v>
      </c>
      <c r="AI6" s="40">
        <v>1856824.8</v>
      </c>
      <c r="AJ6" s="32">
        <f>346996.6+561768.2</f>
        <v>908764.79999999993</v>
      </c>
      <c r="AK6" s="8">
        <f>AJ6/AI6*100</f>
        <v>48.941871090907441</v>
      </c>
      <c r="AL6" s="40">
        <v>42235.1</v>
      </c>
      <c r="AM6" s="32">
        <v>18618.3</v>
      </c>
      <c r="AN6" s="8">
        <f>AM6/AL6*100</f>
        <v>44.082528513014054</v>
      </c>
      <c r="AO6" s="8">
        <v>1092858</v>
      </c>
      <c r="AP6" s="8">
        <v>853654.3</v>
      </c>
      <c r="AQ6" s="8">
        <f>AP6/AO6*100</f>
        <v>78.112096905544917</v>
      </c>
      <c r="AR6" s="8">
        <f>(16587+306006.3+43413+6000)+72500</f>
        <v>444506.3</v>
      </c>
      <c r="AS6" s="9">
        <f>16587+177738.9+42553.5+41097.9</f>
        <v>277977.3</v>
      </c>
      <c r="AT6" s="8">
        <f t="shared" ref="AT6:AT7" si="0">AS6/AR6*100</f>
        <v>62.53618902589232</v>
      </c>
      <c r="AU6" s="40">
        <v>8716.6</v>
      </c>
      <c r="AV6" s="32">
        <v>4534.2</v>
      </c>
      <c r="AW6" s="8">
        <f>AV6/AU6*100</f>
        <v>52.017988665305268</v>
      </c>
      <c r="AX6" s="8">
        <f>3327653.1+530280.2+70902</f>
        <v>3928835.3</v>
      </c>
      <c r="AY6" s="8">
        <f>57186.2+1160964.7+463457.6+160625.7+193056.7</f>
        <v>2035290.9</v>
      </c>
      <c r="AZ6" s="8">
        <f>AY6/AX6*100</f>
        <v>51.803925198900544</v>
      </c>
      <c r="BA6" s="8">
        <v>3148.9</v>
      </c>
      <c r="BB6" s="8">
        <v>801.1</v>
      </c>
      <c r="BC6" s="8">
        <f>BB6/BA6*100</f>
        <v>25.440630061291248</v>
      </c>
      <c r="BD6" s="18">
        <v>0</v>
      </c>
      <c r="BE6" s="8">
        <v>0</v>
      </c>
      <c r="BF6" s="8">
        <v>0</v>
      </c>
      <c r="BG6" s="18">
        <v>5798.7</v>
      </c>
      <c r="BH6" s="18">
        <v>0</v>
      </c>
      <c r="BI6" s="8">
        <f>BH6/BG6*100</f>
        <v>0</v>
      </c>
      <c r="BJ6" s="40">
        <v>67500</v>
      </c>
      <c r="BK6" s="33">
        <v>57017.2</v>
      </c>
      <c r="BL6" s="8">
        <f>BK6/BJ6*100</f>
        <v>84.469925925925921</v>
      </c>
      <c r="BM6" s="9">
        <v>0</v>
      </c>
      <c r="BN6" s="9">
        <v>0</v>
      </c>
      <c r="BO6" s="8">
        <v>0</v>
      </c>
      <c r="BP6" s="9">
        <v>0</v>
      </c>
      <c r="BQ6" s="9">
        <v>0</v>
      </c>
      <c r="BR6" s="8">
        <v>0</v>
      </c>
      <c r="BS6" s="8">
        <v>202950</v>
      </c>
      <c r="BT6" s="8">
        <v>0</v>
      </c>
      <c r="BU6" s="8">
        <f>BT6/BS6*100</f>
        <v>0</v>
      </c>
      <c r="BV6" s="8">
        <f>20978.7+38018.9</f>
        <v>58997.600000000006</v>
      </c>
      <c r="BW6" s="32">
        <v>8821.1</v>
      </c>
      <c r="BX6" s="8">
        <f>BW6/BV6*100</f>
        <v>14.951625150853593</v>
      </c>
    </row>
    <row r="7" spans="1:76" s="2" customFormat="1" ht="31.2" customHeight="1" x14ac:dyDescent="0.3">
      <c r="A7" s="11" t="s">
        <v>39</v>
      </c>
      <c r="B7" s="8">
        <f t="shared" ref="B7:B27" si="1">E7+H7+K7+N7+Q7+T7+W7+Z7+AC7+AF7+AI7+AL7+AO7+AR7+AU7+AX7+BA7+BD7+BG7+BJ7+BM7+BP7+BS7+BV7</f>
        <v>1581260.9999999998</v>
      </c>
      <c r="C7" s="8">
        <f t="shared" ref="C7:C27" si="2">F7+I7+L7+O7+R7+U7+X7+AA7+AD7+AG7+AJ7+AM7+AP7+AS7+AV7+AY7+BB7+BE7+BH7+BK7+BN7+BQ7+BT7+BW7</f>
        <v>743890.6</v>
      </c>
      <c r="D7" s="8">
        <f t="shared" ref="D7:D28" si="3">C7/B7*100</f>
        <v>47.044137558568764</v>
      </c>
      <c r="E7" s="18">
        <v>65088.3</v>
      </c>
      <c r="F7" s="8">
        <v>27033.1</v>
      </c>
      <c r="G7" s="8">
        <f>F7/E7*100</f>
        <v>41.532963681644773</v>
      </c>
      <c r="H7" s="8">
        <v>521.79999999999995</v>
      </c>
      <c r="I7" s="9">
        <v>63.4</v>
      </c>
      <c r="J7" s="8">
        <f t="shared" ref="J7:J28" si="4">I7/H7*100</f>
        <v>12.150249137600614</v>
      </c>
      <c r="K7" s="18">
        <v>3591.4</v>
      </c>
      <c r="L7" s="8">
        <v>449.1</v>
      </c>
      <c r="M7" s="8">
        <f t="shared" ref="M7:M28" si="5">L7/K7*100</f>
        <v>12.504872751573204</v>
      </c>
      <c r="N7" s="8">
        <v>0</v>
      </c>
      <c r="O7" s="8">
        <v>0</v>
      </c>
      <c r="P7" s="8">
        <v>0</v>
      </c>
      <c r="Q7" s="18">
        <v>68968.2</v>
      </c>
      <c r="R7" s="8">
        <v>14698.7</v>
      </c>
      <c r="S7" s="8">
        <f>R7/Q7*100</f>
        <v>21.312285952076465</v>
      </c>
      <c r="T7" s="8">
        <v>68872.2</v>
      </c>
      <c r="U7" s="8">
        <v>45991.6</v>
      </c>
      <c r="V7" s="8">
        <f t="shared" ref="V7:V9" si="6">U7/T7*100</f>
        <v>66.778177552045676</v>
      </c>
      <c r="W7" s="18">
        <v>505.9</v>
      </c>
      <c r="X7" s="8">
        <v>505.9</v>
      </c>
      <c r="Y7" s="8">
        <f t="shared" ref="Y7:Y28" si="7">X7/W7*100</f>
        <v>100</v>
      </c>
      <c r="Z7" s="8">
        <v>0</v>
      </c>
      <c r="AA7" s="8">
        <v>0</v>
      </c>
      <c r="AB7" s="8">
        <v>0</v>
      </c>
      <c r="AC7" s="8">
        <f>625+26000</f>
        <v>26625</v>
      </c>
      <c r="AD7" s="8">
        <v>299.8</v>
      </c>
      <c r="AE7" s="8">
        <f>AD7/AC7*100</f>
        <v>1.1260093896713614</v>
      </c>
      <c r="AF7" s="18">
        <v>1492.5</v>
      </c>
      <c r="AG7" s="8">
        <v>148.5</v>
      </c>
      <c r="AH7" s="8">
        <f>AG7/AF7*100</f>
        <v>9.9497487437185939</v>
      </c>
      <c r="AI7" s="18">
        <v>108746.9</v>
      </c>
      <c r="AJ7" s="8">
        <v>40265.199999999997</v>
      </c>
      <c r="AK7" s="8">
        <f t="shared" ref="AK7:AK28" si="8">AJ7/AI7*100</f>
        <v>37.026526733175842</v>
      </c>
      <c r="AL7" s="18">
        <v>3301.2</v>
      </c>
      <c r="AM7" s="8">
        <v>3301.2</v>
      </c>
      <c r="AN7" s="8">
        <f>AM7/AL7*100</f>
        <v>100</v>
      </c>
      <c r="AO7" s="8" t="s">
        <v>1</v>
      </c>
      <c r="AP7" s="8">
        <v>0</v>
      </c>
      <c r="AQ7" s="8">
        <f t="shared" ref="AQ7:AQ27" si="9">AP7-AO7</f>
        <v>0</v>
      </c>
      <c r="AR7" s="8">
        <f>85569.6</f>
        <v>85569.600000000006</v>
      </c>
      <c r="AS7" s="9">
        <f>7994.1+520.6+15593.5</f>
        <v>24108.2</v>
      </c>
      <c r="AT7" s="8">
        <f t="shared" si="0"/>
        <v>28.173790692021466</v>
      </c>
      <c r="AU7" s="18">
        <v>6458.5</v>
      </c>
      <c r="AV7" s="8">
        <v>3800</v>
      </c>
      <c r="AW7" s="8">
        <f t="shared" ref="AW7:AW28" si="10">AV7/AU7*100</f>
        <v>58.837191298289071</v>
      </c>
      <c r="AX7" s="8">
        <f>783022.2+202493.6+125295</f>
        <v>1110810.7999999998</v>
      </c>
      <c r="AY7" s="8">
        <v>571121.80000000005</v>
      </c>
      <c r="AZ7" s="8">
        <f t="shared" ref="AZ7:AZ28" si="11">AY7/AX7*100</f>
        <v>51.41485840793051</v>
      </c>
      <c r="BA7" s="8">
        <v>0</v>
      </c>
      <c r="BB7" s="8">
        <v>0</v>
      </c>
      <c r="BC7" s="8">
        <v>0</v>
      </c>
      <c r="BD7" s="18">
        <f>3890.7+3557.1</f>
        <v>7447.7999999999993</v>
      </c>
      <c r="BE7" s="8">
        <v>1144.0999999999999</v>
      </c>
      <c r="BF7" s="8">
        <f t="shared" ref="BF7:BF28" si="12">BE7/BD7*100</f>
        <v>15.361583286339592</v>
      </c>
      <c r="BG7" s="18">
        <v>1942.8</v>
      </c>
      <c r="BH7" s="18">
        <v>0</v>
      </c>
      <c r="BI7" s="8">
        <v>0</v>
      </c>
      <c r="BJ7" s="18">
        <v>10000</v>
      </c>
      <c r="BK7" s="9">
        <v>6063</v>
      </c>
      <c r="BL7" s="8">
        <f t="shared" ref="BL7:BL28" si="13">BK7/BJ7*100</f>
        <v>60.629999999999995</v>
      </c>
      <c r="BM7" s="9">
        <v>9800.7000000000007</v>
      </c>
      <c r="BN7" s="9">
        <v>3580.5</v>
      </c>
      <c r="BO7" s="8">
        <f>BN7/BM7*100</f>
        <v>36.533104778230125</v>
      </c>
      <c r="BP7" s="9">
        <v>0</v>
      </c>
      <c r="BQ7" s="9">
        <v>0</v>
      </c>
      <c r="BR7" s="8">
        <v>0</v>
      </c>
      <c r="BS7" s="8">
        <v>0</v>
      </c>
      <c r="BT7" s="8">
        <v>0</v>
      </c>
      <c r="BU7" s="8">
        <v>0</v>
      </c>
      <c r="BV7" s="8">
        <v>1517.4</v>
      </c>
      <c r="BW7" s="8">
        <v>1316.5</v>
      </c>
      <c r="BX7" s="8">
        <f t="shared" ref="BX7:BX28" si="14">BW7/BV7*100</f>
        <v>86.76024779227626</v>
      </c>
    </row>
    <row r="8" spans="1:76" s="2" customFormat="1" ht="15.6" x14ac:dyDescent="0.3">
      <c r="A8" s="11" t="s">
        <v>40</v>
      </c>
      <c r="B8" s="8">
        <f t="shared" si="1"/>
        <v>2476422.7000000002</v>
      </c>
      <c r="C8" s="8">
        <f t="shared" si="2"/>
        <v>868814.3</v>
      </c>
      <c r="D8" s="8">
        <f t="shared" si="3"/>
        <v>35.083441126589577</v>
      </c>
      <c r="E8" s="18">
        <v>37826.9</v>
      </c>
      <c r="F8" s="32">
        <v>8751.6</v>
      </c>
      <c r="G8" s="8">
        <f t="shared" ref="G8:G28" si="15">F8/E8*100</f>
        <v>23.135916503863651</v>
      </c>
      <c r="H8" s="32">
        <v>946</v>
      </c>
      <c r="I8" s="33">
        <v>946</v>
      </c>
      <c r="J8" s="8">
        <f t="shared" si="4"/>
        <v>100</v>
      </c>
      <c r="K8" s="18">
        <f>59755.7+103549.9</f>
        <v>163305.59999999998</v>
      </c>
      <c r="L8" s="8">
        <f>112508.2+2503.8</f>
        <v>115012</v>
      </c>
      <c r="M8" s="8">
        <f t="shared" si="5"/>
        <v>70.427468500774012</v>
      </c>
      <c r="N8" s="32">
        <v>0</v>
      </c>
      <c r="O8" s="32">
        <v>0</v>
      </c>
      <c r="P8" s="8">
        <v>0</v>
      </c>
      <c r="Q8" s="32">
        <v>270421.3</v>
      </c>
      <c r="R8" s="32">
        <v>220084.6</v>
      </c>
      <c r="S8" s="8">
        <f t="shared" ref="S8:S28" si="16">R8/Q8*100</f>
        <v>81.385822788367634</v>
      </c>
      <c r="T8" s="8">
        <v>7060</v>
      </c>
      <c r="U8" s="8">
        <v>504.3</v>
      </c>
      <c r="V8" s="8">
        <f t="shared" si="6"/>
        <v>7.1430594900849851</v>
      </c>
      <c r="W8" s="40">
        <v>2691.8</v>
      </c>
      <c r="X8" s="32">
        <v>2691.8</v>
      </c>
      <c r="Y8" s="8">
        <f t="shared" si="7"/>
        <v>100</v>
      </c>
      <c r="Z8" s="8">
        <v>0</v>
      </c>
      <c r="AA8" s="8">
        <v>0</v>
      </c>
      <c r="AB8" s="8">
        <v>0</v>
      </c>
      <c r="AC8" s="8">
        <f>99068.8+6000</f>
        <v>105068.8</v>
      </c>
      <c r="AD8" s="8">
        <f>5057.4+46729.7</f>
        <v>51787.1</v>
      </c>
      <c r="AE8" s="8">
        <f t="shared" ref="AE8:AE28" si="17">AD8/AC8*100</f>
        <v>49.28875175123347</v>
      </c>
      <c r="AF8" s="18">
        <v>11198.8</v>
      </c>
      <c r="AG8" s="8">
        <v>297</v>
      </c>
      <c r="AH8" s="8">
        <f t="shared" ref="AH8:AH28" si="18">AG8/AF8*100</f>
        <v>2.6520698646283534</v>
      </c>
      <c r="AI8" s="40">
        <v>90230.3</v>
      </c>
      <c r="AJ8" s="32">
        <v>57433.4</v>
      </c>
      <c r="AK8" s="8">
        <f t="shared" si="8"/>
        <v>63.652010466550593</v>
      </c>
      <c r="AL8" s="40">
        <v>18087.599999999999</v>
      </c>
      <c r="AM8" s="32">
        <v>10774</v>
      </c>
      <c r="AN8" s="8">
        <f t="shared" ref="AN8:AN26" si="19">AM8/AL8*100</f>
        <v>59.565669298303817</v>
      </c>
      <c r="AO8" s="8" t="s">
        <v>1</v>
      </c>
      <c r="AP8" s="8">
        <v>0</v>
      </c>
      <c r="AQ8" s="8">
        <f t="shared" si="9"/>
        <v>0</v>
      </c>
      <c r="AR8" s="8">
        <f>4855.1+32759+28000+12740.7</f>
        <v>78354.8</v>
      </c>
      <c r="AS8" s="9">
        <f>4855.1+20596.4+16181.5+12624.6</f>
        <v>54257.599999999999</v>
      </c>
      <c r="AT8" s="8">
        <f>AS8/AR8*100</f>
        <v>69.2460449136492</v>
      </c>
      <c r="AU8" s="40">
        <v>12302.5</v>
      </c>
      <c r="AV8" s="32">
        <v>10146.299999999999</v>
      </c>
      <c r="AW8" s="8">
        <f t="shared" si="10"/>
        <v>82.473480999796791</v>
      </c>
      <c r="AX8" s="8">
        <f>470199.3+692228.3</f>
        <v>1162427.6000000001</v>
      </c>
      <c r="AY8" s="8">
        <f>203200.2+62110.4+42108.8</f>
        <v>307419.40000000002</v>
      </c>
      <c r="AZ8" s="8">
        <f t="shared" si="11"/>
        <v>26.446326635740579</v>
      </c>
      <c r="BA8" s="8">
        <v>381.7</v>
      </c>
      <c r="BB8" s="8">
        <v>0</v>
      </c>
      <c r="BC8" s="8">
        <v>0</v>
      </c>
      <c r="BD8" s="18">
        <f>3771.9+3753</f>
        <v>7524.9</v>
      </c>
      <c r="BE8" s="8">
        <v>3753</v>
      </c>
      <c r="BF8" s="8">
        <f t="shared" si="12"/>
        <v>49.874416935773233</v>
      </c>
      <c r="BG8" s="18">
        <v>0</v>
      </c>
      <c r="BH8" s="18">
        <v>0</v>
      </c>
      <c r="BI8" s="8">
        <v>0</v>
      </c>
      <c r="BJ8" s="40">
        <v>22500</v>
      </c>
      <c r="BK8" s="33">
        <v>19107.400000000001</v>
      </c>
      <c r="BL8" s="8">
        <f t="shared" si="13"/>
        <v>84.921777777777791</v>
      </c>
      <c r="BM8" s="9">
        <v>0</v>
      </c>
      <c r="BN8" s="9">
        <v>0</v>
      </c>
      <c r="BO8" s="8">
        <v>0</v>
      </c>
      <c r="BP8" s="9">
        <v>1020.4</v>
      </c>
      <c r="BQ8" s="9">
        <v>0</v>
      </c>
      <c r="BR8" s="8">
        <f>BQ8/BP8*100</f>
        <v>0</v>
      </c>
      <c r="BS8" s="8">
        <v>478954</v>
      </c>
      <c r="BT8" s="8">
        <v>0</v>
      </c>
      <c r="BU8" s="8">
        <f t="shared" ref="BU8:BU27" si="20">BT8/BS8*100</f>
        <v>0</v>
      </c>
      <c r="BV8" s="8">
        <f>2379.3+3740.4</f>
        <v>6119.7000000000007</v>
      </c>
      <c r="BW8" s="32">
        <v>5848.8</v>
      </c>
      <c r="BX8" s="8">
        <f t="shared" si="14"/>
        <v>95.573312417275346</v>
      </c>
    </row>
    <row r="9" spans="1:76" s="2" customFormat="1" ht="15.6" x14ac:dyDescent="0.3">
      <c r="A9" s="11" t="s">
        <v>41</v>
      </c>
      <c r="B9" s="8">
        <f t="shared" si="1"/>
        <v>3630985.5999999992</v>
      </c>
      <c r="C9" s="8">
        <f t="shared" si="2"/>
        <v>1700147.9999999998</v>
      </c>
      <c r="D9" s="8">
        <f t="shared" si="3"/>
        <v>46.823319817076673</v>
      </c>
      <c r="E9" s="18">
        <f>45838.9+268509.7</f>
        <v>314348.60000000003</v>
      </c>
      <c r="F9" s="32">
        <f>14387.5+203403.5</f>
        <v>217791</v>
      </c>
      <c r="G9" s="8">
        <f t="shared" si="15"/>
        <v>69.283273410474848</v>
      </c>
      <c r="H9" s="32">
        <v>1204.5999999999999</v>
      </c>
      <c r="I9" s="33">
        <v>436.5</v>
      </c>
      <c r="J9" s="8">
        <f t="shared" si="4"/>
        <v>36.236094969284409</v>
      </c>
      <c r="K9" s="18">
        <f>242958.2+23096.6</f>
        <v>266054.8</v>
      </c>
      <c r="L9" s="8">
        <f>91483+22533.9</f>
        <v>114016.9</v>
      </c>
      <c r="M9" s="8">
        <f t="shared" si="5"/>
        <v>42.854667534658276</v>
      </c>
      <c r="N9" s="32">
        <v>0</v>
      </c>
      <c r="O9" s="32">
        <v>0</v>
      </c>
      <c r="P9" s="8">
        <v>0</v>
      </c>
      <c r="Q9" s="32">
        <v>216837.2</v>
      </c>
      <c r="R9" s="32">
        <v>167609.1</v>
      </c>
      <c r="S9" s="8">
        <f t="shared" si="16"/>
        <v>77.297207305757496</v>
      </c>
      <c r="T9" s="8">
        <v>8020</v>
      </c>
      <c r="U9" s="8">
        <v>7104.9</v>
      </c>
      <c r="V9" s="8">
        <f t="shared" si="6"/>
        <v>88.589775561097255</v>
      </c>
      <c r="W9" s="40">
        <f>7896.6+10449.3</f>
        <v>18345.900000000001</v>
      </c>
      <c r="X9" s="32">
        <f>10449.3+7194.1</f>
        <v>17643.400000000001</v>
      </c>
      <c r="Y9" s="8">
        <f t="shared" si="7"/>
        <v>96.170806556233273</v>
      </c>
      <c r="Z9" s="8">
        <v>0</v>
      </c>
      <c r="AA9" s="8">
        <v>0</v>
      </c>
      <c r="AB9" s="8">
        <v>0</v>
      </c>
      <c r="AC9" s="8">
        <v>7848.7</v>
      </c>
      <c r="AD9" s="8">
        <v>378.4</v>
      </c>
      <c r="AE9" s="8">
        <f t="shared" si="17"/>
        <v>4.8211805776752836</v>
      </c>
      <c r="AF9" s="18">
        <f>21764.2+30129.9</f>
        <v>51894.100000000006</v>
      </c>
      <c r="AG9" s="8">
        <f>13515.6</f>
        <v>13515.6</v>
      </c>
      <c r="AH9" s="8">
        <f t="shared" si="18"/>
        <v>26.044579248893417</v>
      </c>
      <c r="AI9" s="40">
        <v>170209.7</v>
      </c>
      <c r="AJ9" s="32">
        <v>48579.6</v>
      </c>
      <c r="AK9" s="8">
        <f t="shared" si="8"/>
        <v>28.541029095286575</v>
      </c>
      <c r="AL9" s="40">
        <v>17251.7</v>
      </c>
      <c r="AM9" s="32">
        <v>9663.5</v>
      </c>
      <c r="AN9" s="8">
        <f t="shared" si="19"/>
        <v>56.014769558942014</v>
      </c>
      <c r="AO9" s="8" t="s">
        <v>1</v>
      </c>
      <c r="AP9" s="8">
        <v>0</v>
      </c>
      <c r="AQ9" s="8">
        <f t="shared" si="9"/>
        <v>0</v>
      </c>
      <c r="AR9" s="8">
        <f>4806.6+30366+33695.8+12613</f>
        <v>81481.399999999994</v>
      </c>
      <c r="AS9" s="9">
        <f>11280.8+27876.1+1213.6</f>
        <v>40370.499999999993</v>
      </c>
      <c r="AT9" s="8">
        <f t="shared" ref="AT9:AT23" si="21">AS9/AR9*100</f>
        <v>49.545663182026814</v>
      </c>
      <c r="AU9" s="40">
        <v>11502.8</v>
      </c>
      <c r="AV9" s="32">
        <v>8540</v>
      </c>
      <c r="AW9" s="8">
        <f t="shared" si="10"/>
        <v>74.242793059081265</v>
      </c>
      <c r="AX9" s="8">
        <f>1597287.7+160800</f>
        <v>1758087.7</v>
      </c>
      <c r="AY9" s="8">
        <f>705452+187523.4+127134.6</f>
        <v>1020110</v>
      </c>
      <c r="AZ9" s="8">
        <f t="shared" si="11"/>
        <v>58.023840335155064</v>
      </c>
      <c r="BA9" s="8">
        <v>0</v>
      </c>
      <c r="BB9" s="8">
        <v>0</v>
      </c>
      <c r="BC9" s="8">
        <v>0</v>
      </c>
      <c r="BD9" s="18">
        <f>(6593.4+1520)+6535.9</f>
        <v>14649.3</v>
      </c>
      <c r="BE9" s="8">
        <f>6535.9</f>
        <v>6535.9</v>
      </c>
      <c r="BF9" s="8">
        <f t="shared" si="12"/>
        <v>44.615783689323038</v>
      </c>
      <c r="BG9" s="18">
        <v>612.5</v>
      </c>
      <c r="BH9" s="18">
        <v>0</v>
      </c>
      <c r="BI9" s="8">
        <f>BH9/BG9*100</f>
        <v>0</v>
      </c>
      <c r="BJ9" s="40">
        <v>27500</v>
      </c>
      <c r="BK9" s="33">
        <v>25056.5</v>
      </c>
      <c r="BL9" s="8">
        <f t="shared" si="13"/>
        <v>91.114545454545464</v>
      </c>
      <c r="BM9" s="9">
        <v>9565.4</v>
      </c>
      <c r="BN9" s="9">
        <v>1775.8</v>
      </c>
      <c r="BO9" s="8">
        <f t="shared" ref="BO9:BO28" si="22">BN9/BM9*100</f>
        <v>18.56482739874966</v>
      </c>
      <c r="BP9" s="9">
        <v>1020.4</v>
      </c>
      <c r="BQ9" s="9">
        <v>1020.4</v>
      </c>
      <c r="BR9" s="8">
        <f t="shared" ref="BR9:BR22" si="23">BQ9/BP9*100</f>
        <v>100</v>
      </c>
      <c r="BS9" s="8">
        <v>642511</v>
      </c>
      <c r="BT9" s="8">
        <v>0</v>
      </c>
      <c r="BU9" s="8">
        <f t="shared" si="20"/>
        <v>0</v>
      </c>
      <c r="BV9" s="8">
        <f>3670.1+8369.7</f>
        <v>12039.800000000001</v>
      </c>
      <c r="BW9" s="32">
        <v>0</v>
      </c>
      <c r="BX9" s="8">
        <f t="shared" si="14"/>
        <v>0</v>
      </c>
    </row>
    <row r="10" spans="1:76" s="2" customFormat="1" ht="18.600000000000001" customHeight="1" x14ac:dyDescent="0.3">
      <c r="A10" s="11" t="s">
        <v>21</v>
      </c>
      <c r="B10" s="8">
        <f t="shared" si="1"/>
        <v>1452515.9</v>
      </c>
      <c r="C10" s="8">
        <f t="shared" si="2"/>
        <v>934617.2</v>
      </c>
      <c r="D10" s="8">
        <f t="shared" si="3"/>
        <v>64.344713885748178</v>
      </c>
      <c r="E10" s="18">
        <v>46299.5</v>
      </c>
      <c r="F10" s="32">
        <v>59.4</v>
      </c>
      <c r="G10" s="8">
        <f t="shared" si="15"/>
        <v>0.12829512197755916</v>
      </c>
      <c r="H10" s="32">
        <v>781.4</v>
      </c>
      <c r="I10" s="33">
        <v>781.4</v>
      </c>
      <c r="J10" s="8">
        <f t="shared" si="4"/>
        <v>100</v>
      </c>
      <c r="K10" s="18">
        <f>103920.9+1000.1</f>
        <v>104921</v>
      </c>
      <c r="L10" s="8">
        <f>20892.6+3075.3</f>
        <v>23967.899999999998</v>
      </c>
      <c r="M10" s="8">
        <f t="shared" si="5"/>
        <v>22.843758637451035</v>
      </c>
      <c r="N10" s="32">
        <v>0</v>
      </c>
      <c r="O10" s="32">
        <v>0</v>
      </c>
      <c r="P10" s="8">
        <v>0</v>
      </c>
      <c r="Q10" s="32">
        <v>45602.6</v>
      </c>
      <c r="R10" s="32">
        <v>29579</v>
      </c>
      <c r="S10" s="8">
        <f t="shared" si="16"/>
        <v>64.862529768039551</v>
      </c>
      <c r="T10" s="8">
        <v>0</v>
      </c>
      <c r="U10" s="8">
        <v>0</v>
      </c>
      <c r="V10" s="8">
        <v>0</v>
      </c>
      <c r="W10" s="40">
        <v>40986</v>
      </c>
      <c r="X10" s="32">
        <v>28509.3</v>
      </c>
      <c r="Y10" s="8">
        <f t="shared" si="7"/>
        <v>69.558629776021078</v>
      </c>
      <c r="Z10" s="8">
        <v>0</v>
      </c>
      <c r="AA10" s="8">
        <v>0</v>
      </c>
      <c r="AB10" s="8">
        <v>0</v>
      </c>
      <c r="AC10" s="18">
        <v>2184.5</v>
      </c>
      <c r="AD10" s="8">
        <v>743.9</v>
      </c>
      <c r="AE10" s="8">
        <f t="shared" si="17"/>
        <v>34.053559166857404</v>
      </c>
      <c r="AF10" s="18">
        <v>14718.1</v>
      </c>
      <c r="AG10" s="8">
        <v>9925.6</v>
      </c>
      <c r="AH10" s="8">
        <f t="shared" si="18"/>
        <v>67.438052466011229</v>
      </c>
      <c r="AI10" s="40">
        <v>192679.5</v>
      </c>
      <c r="AJ10" s="32">
        <v>91095.1</v>
      </c>
      <c r="AK10" s="8">
        <f t="shared" si="8"/>
        <v>47.278044628515232</v>
      </c>
      <c r="AL10" s="40">
        <v>25204.1</v>
      </c>
      <c r="AM10" s="32">
        <v>10299.200000000001</v>
      </c>
      <c r="AN10" s="8">
        <f t="shared" si="19"/>
        <v>40.863192893219761</v>
      </c>
      <c r="AO10" s="8" t="s">
        <v>1</v>
      </c>
      <c r="AP10" s="8">
        <v>0</v>
      </c>
      <c r="AQ10" s="8">
        <f t="shared" si="9"/>
        <v>0</v>
      </c>
      <c r="AR10" s="8">
        <v>61239.9</v>
      </c>
      <c r="AS10" s="9">
        <f>13250.1+6727.8+12606.4+12080</f>
        <v>44664.3</v>
      </c>
      <c r="AT10" s="8">
        <f t="shared" si="21"/>
        <v>72.933332680164412</v>
      </c>
      <c r="AU10" s="40">
        <v>4817.7</v>
      </c>
      <c r="AV10" s="32">
        <v>1263.5</v>
      </c>
      <c r="AW10" s="8">
        <f t="shared" si="10"/>
        <v>26.22620752641302</v>
      </c>
      <c r="AX10" s="8">
        <f>(700827.8+179555.4)</f>
        <v>880383.20000000007</v>
      </c>
      <c r="AY10" s="8">
        <f>195183.5+165444.1+158664.3+35351.5+23967.1+90631.4</f>
        <v>669241.89999999991</v>
      </c>
      <c r="AZ10" s="8">
        <f t="shared" si="11"/>
        <v>76.017113911305884</v>
      </c>
      <c r="BA10" s="8">
        <v>0</v>
      </c>
      <c r="BB10" s="8">
        <v>0</v>
      </c>
      <c r="BC10" s="8">
        <v>0</v>
      </c>
      <c r="BD10" s="18">
        <f>3207.6+3186.3</f>
        <v>6393.9</v>
      </c>
      <c r="BE10" s="8">
        <v>3186.2</v>
      </c>
      <c r="BF10" s="8">
        <f t="shared" si="12"/>
        <v>49.831871002048828</v>
      </c>
      <c r="BG10" s="18">
        <v>0</v>
      </c>
      <c r="BH10" s="18">
        <v>0</v>
      </c>
      <c r="BI10" s="8">
        <v>0</v>
      </c>
      <c r="BJ10" s="40">
        <v>10000</v>
      </c>
      <c r="BK10" s="33">
        <v>9111.6</v>
      </c>
      <c r="BL10" s="8">
        <f t="shared" si="13"/>
        <v>91.116000000000014</v>
      </c>
      <c r="BM10" s="9">
        <v>13584.8</v>
      </c>
      <c r="BN10" s="9">
        <v>12188.9</v>
      </c>
      <c r="BO10" s="8">
        <f t="shared" si="22"/>
        <v>89.724545079795064</v>
      </c>
      <c r="BP10" s="9">
        <v>0</v>
      </c>
      <c r="BQ10" s="9">
        <v>0</v>
      </c>
      <c r="BR10" s="8">
        <v>0</v>
      </c>
      <c r="BS10" s="8">
        <v>0</v>
      </c>
      <c r="BT10" s="8">
        <v>0</v>
      </c>
      <c r="BU10" s="8">
        <v>0</v>
      </c>
      <c r="BV10" s="8">
        <f>1419.7+1300</f>
        <v>2719.7</v>
      </c>
      <c r="BW10" s="32">
        <v>0</v>
      </c>
      <c r="BX10" s="8">
        <f t="shared" si="14"/>
        <v>0</v>
      </c>
    </row>
    <row r="11" spans="1:76" s="2" customFormat="1" ht="18" customHeight="1" x14ac:dyDescent="0.3">
      <c r="A11" s="11" t="s">
        <v>2</v>
      </c>
      <c r="B11" s="8">
        <f t="shared" si="1"/>
        <v>2118860.8000000003</v>
      </c>
      <c r="C11" s="8">
        <f t="shared" si="2"/>
        <v>970484.90000000014</v>
      </c>
      <c r="D11" s="8">
        <f t="shared" si="3"/>
        <v>45.802201824678619</v>
      </c>
      <c r="E11" s="18">
        <v>253638.2</v>
      </c>
      <c r="F11" s="32">
        <f>983.4+14565.8+78206+6262</f>
        <v>100017.2</v>
      </c>
      <c r="G11" s="8">
        <f t="shared" si="15"/>
        <v>39.433019158786017</v>
      </c>
      <c r="H11" s="32">
        <v>1076.2</v>
      </c>
      <c r="I11" s="33">
        <v>1076.2</v>
      </c>
      <c r="J11" s="8">
        <f t="shared" si="4"/>
        <v>100</v>
      </c>
      <c r="K11" s="9">
        <v>423743.7</v>
      </c>
      <c r="L11" s="8">
        <f>182971.2+123261.9</f>
        <v>306233.09999999998</v>
      </c>
      <c r="M11" s="8">
        <f t="shared" si="5"/>
        <v>72.268472664018361</v>
      </c>
      <c r="N11" s="32">
        <v>0</v>
      </c>
      <c r="O11" s="32">
        <v>0</v>
      </c>
      <c r="P11" s="8">
        <v>0</v>
      </c>
      <c r="Q11" s="32">
        <v>105650.7</v>
      </c>
      <c r="R11" s="32">
        <v>31254.400000000001</v>
      </c>
      <c r="S11" s="8">
        <f t="shared" si="16"/>
        <v>29.58276660732016</v>
      </c>
      <c r="T11" s="8">
        <v>0</v>
      </c>
      <c r="U11" s="8">
        <v>0</v>
      </c>
      <c r="V11" s="8">
        <v>0</v>
      </c>
      <c r="W11" s="40">
        <v>53771</v>
      </c>
      <c r="X11" s="32">
        <v>21066.6</v>
      </c>
      <c r="Y11" s="8">
        <f t="shared" si="7"/>
        <v>39.178367521526468</v>
      </c>
      <c r="Z11" s="8">
        <v>0</v>
      </c>
      <c r="AA11" s="8">
        <v>0</v>
      </c>
      <c r="AB11" s="8">
        <v>0</v>
      </c>
      <c r="AC11" s="18">
        <v>95584.9</v>
      </c>
      <c r="AD11" s="8">
        <v>26987.8</v>
      </c>
      <c r="AE11" s="8">
        <f t="shared" si="17"/>
        <v>28.234375931763285</v>
      </c>
      <c r="AF11" s="18">
        <v>0</v>
      </c>
      <c r="AG11" s="8">
        <v>0</v>
      </c>
      <c r="AH11" s="8">
        <v>0</v>
      </c>
      <c r="AI11" s="40">
        <v>53565.5</v>
      </c>
      <c r="AJ11" s="32">
        <v>40709.199999999997</v>
      </c>
      <c r="AK11" s="8">
        <f t="shared" si="8"/>
        <v>75.998917213504953</v>
      </c>
      <c r="AL11" s="40">
        <v>12263.8</v>
      </c>
      <c r="AM11" s="32">
        <v>7809.8</v>
      </c>
      <c r="AN11" s="8">
        <f t="shared" si="19"/>
        <v>63.681729969503756</v>
      </c>
      <c r="AO11" s="8" t="s">
        <v>1</v>
      </c>
      <c r="AP11" s="8">
        <v>0</v>
      </c>
      <c r="AQ11" s="8">
        <f t="shared" si="9"/>
        <v>0</v>
      </c>
      <c r="AR11" s="8">
        <v>87033</v>
      </c>
      <c r="AS11" s="9">
        <f>8277.8+19286.6+17408.9+13768.6</f>
        <v>58741.9</v>
      </c>
      <c r="AT11" s="8">
        <f t="shared" si="21"/>
        <v>67.493824181632249</v>
      </c>
      <c r="AU11" s="40">
        <v>15177.2</v>
      </c>
      <c r="AV11" s="32">
        <v>8223</v>
      </c>
      <c r="AW11" s="8">
        <f t="shared" si="10"/>
        <v>54.179954141738918</v>
      </c>
      <c r="AX11" s="8">
        <f>816674.5+168114.5</f>
        <v>984789</v>
      </c>
      <c r="AY11" s="8">
        <f>103752.5+137295.1+93081.4+17820</f>
        <v>351949</v>
      </c>
      <c r="AZ11" s="8">
        <f t="shared" si="11"/>
        <v>35.738518606523833</v>
      </c>
      <c r="BA11" s="8">
        <v>0</v>
      </c>
      <c r="BB11" s="8">
        <v>0</v>
      </c>
      <c r="BC11" s="8">
        <v>0</v>
      </c>
      <c r="BD11" s="18">
        <f>5505.8+5643</f>
        <v>11148.8</v>
      </c>
      <c r="BE11" s="8">
        <v>5505.8</v>
      </c>
      <c r="BF11" s="8">
        <f t="shared" si="12"/>
        <v>49.384687141217</v>
      </c>
      <c r="BG11" s="18">
        <v>2519</v>
      </c>
      <c r="BH11" s="18">
        <v>0</v>
      </c>
      <c r="BI11" s="8">
        <v>0</v>
      </c>
      <c r="BJ11" s="40">
        <v>12500</v>
      </c>
      <c r="BK11" s="33">
        <v>10910.9</v>
      </c>
      <c r="BL11" s="8">
        <f t="shared" si="13"/>
        <v>87.287199999999999</v>
      </c>
      <c r="BM11" s="9">
        <v>3656.6</v>
      </c>
      <c r="BN11" s="9">
        <v>0</v>
      </c>
      <c r="BO11" s="8">
        <f t="shared" si="22"/>
        <v>0</v>
      </c>
      <c r="BP11" s="9">
        <v>0</v>
      </c>
      <c r="BQ11" s="9">
        <v>0</v>
      </c>
      <c r="BR11" s="8">
        <v>0</v>
      </c>
      <c r="BS11" s="8">
        <v>0</v>
      </c>
      <c r="BT11" s="8">
        <v>0</v>
      </c>
      <c r="BU11" s="8">
        <v>0</v>
      </c>
      <c r="BV11" s="8">
        <v>2743.2</v>
      </c>
      <c r="BW11" s="32">
        <v>0</v>
      </c>
      <c r="BX11" s="8">
        <f t="shared" si="14"/>
        <v>0</v>
      </c>
    </row>
    <row r="12" spans="1:76" s="2" customFormat="1" ht="18.600000000000001" customHeight="1" x14ac:dyDescent="0.3">
      <c r="A12" s="11" t="s">
        <v>3</v>
      </c>
      <c r="B12" s="8">
        <f t="shared" si="1"/>
        <v>1269969</v>
      </c>
      <c r="C12" s="8">
        <f t="shared" si="2"/>
        <v>647407.80000000005</v>
      </c>
      <c r="D12" s="8">
        <f t="shared" si="3"/>
        <v>50.978236476638408</v>
      </c>
      <c r="E12" s="18">
        <v>49977.7</v>
      </c>
      <c r="F12" s="32">
        <f>4213.5+8370.7</f>
        <v>12584.2</v>
      </c>
      <c r="G12" s="8">
        <f t="shared" si="15"/>
        <v>25.179630115031308</v>
      </c>
      <c r="H12" s="32">
        <v>1002.7</v>
      </c>
      <c r="I12" s="33">
        <v>1002.7</v>
      </c>
      <c r="J12" s="8">
        <f t="shared" si="4"/>
        <v>100</v>
      </c>
      <c r="K12" s="9">
        <f>142272.1+756</f>
        <v>143028.1</v>
      </c>
      <c r="L12" s="8">
        <f>118789.9+748.4</f>
        <v>119538.29999999999</v>
      </c>
      <c r="M12" s="8">
        <f t="shared" si="5"/>
        <v>83.576793651037789</v>
      </c>
      <c r="N12" s="32">
        <v>0</v>
      </c>
      <c r="O12" s="32">
        <v>0</v>
      </c>
      <c r="P12" s="8">
        <v>0</v>
      </c>
      <c r="Q12" s="32">
        <v>63455.8</v>
      </c>
      <c r="R12" s="32">
        <v>31896.9</v>
      </c>
      <c r="S12" s="8">
        <f t="shared" si="16"/>
        <v>50.266327112730437</v>
      </c>
      <c r="T12" s="8">
        <v>0</v>
      </c>
      <c r="U12" s="8">
        <v>0</v>
      </c>
      <c r="V12" s="8">
        <v>0</v>
      </c>
      <c r="W12" s="40">
        <v>72628.100000000006</v>
      </c>
      <c r="X12" s="32">
        <v>24044.2</v>
      </c>
      <c r="Y12" s="8">
        <f t="shared" si="7"/>
        <v>33.105919058876658</v>
      </c>
      <c r="Z12" s="8">
        <v>0</v>
      </c>
      <c r="AA12" s="8">
        <v>0</v>
      </c>
      <c r="AB12" s="8">
        <v>0</v>
      </c>
      <c r="AC12" s="18">
        <v>2225</v>
      </c>
      <c r="AD12" s="8">
        <v>634.79999999999995</v>
      </c>
      <c r="AE12" s="8">
        <f t="shared" si="17"/>
        <v>28.530337078651684</v>
      </c>
      <c r="AF12" s="18">
        <v>2970</v>
      </c>
      <c r="AG12" s="8">
        <v>1188</v>
      </c>
      <c r="AH12" s="8">
        <f t="shared" si="18"/>
        <v>40</v>
      </c>
      <c r="AI12" s="40">
        <v>83432.5</v>
      </c>
      <c r="AJ12" s="32">
        <v>47024.6</v>
      </c>
      <c r="AK12" s="8">
        <f t="shared" si="8"/>
        <v>56.36244868606358</v>
      </c>
      <c r="AL12" s="40">
        <v>6981.2</v>
      </c>
      <c r="AM12" s="32">
        <v>6981.2</v>
      </c>
      <c r="AN12" s="8">
        <f t="shared" si="19"/>
        <v>100</v>
      </c>
      <c r="AO12" s="8" t="s">
        <v>1</v>
      </c>
      <c r="AP12" s="8">
        <v>0</v>
      </c>
      <c r="AQ12" s="8">
        <f t="shared" si="9"/>
        <v>0</v>
      </c>
      <c r="AR12" s="8">
        <f>23941+2400</f>
        <v>26341</v>
      </c>
      <c r="AS12" s="9">
        <f>21000+5339.8</f>
        <v>26339.8</v>
      </c>
      <c r="AT12" s="8">
        <f t="shared" si="21"/>
        <v>99.995444364299004</v>
      </c>
      <c r="AU12" s="40">
        <v>18926.5</v>
      </c>
      <c r="AV12" s="32">
        <v>9296.6</v>
      </c>
      <c r="AW12" s="8">
        <f t="shared" si="10"/>
        <v>49.11948854780335</v>
      </c>
      <c r="AX12" s="8">
        <f>578310+159440.5</f>
        <v>737750.5</v>
      </c>
      <c r="AY12" s="8">
        <f>342926.2</f>
        <v>342926.2</v>
      </c>
      <c r="AZ12" s="8">
        <f t="shared" si="11"/>
        <v>46.482679442440229</v>
      </c>
      <c r="BA12" s="8">
        <v>0</v>
      </c>
      <c r="BB12" s="8">
        <v>0</v>
      </c>
      <c r="BC12" s="8">
        <v>0</v>
      </c>
      <c r="BD12" s="18">
        <f>6029.1+7363.1</f>
        <v>13392.2</v>
      </c>
      <c r="BE12" s="8">
        <v>6003.1</v>
      </c>
      <c r="BF12" s="8">
        <f t="shared" si="12"/>
        <v>44.825346096981825</v>
      </c>
      <c r="BG12" s="18">
        <v>4919.5</v>
      </c>
      <c r="BH12" s="18">
        <v>0</v>
      </c>
      <c r="BI12" s="8">
        <v>0</v>
      </c>
      <c r="BJ12" s="40">
        <v>25000</v>
      </c>
      <c r="BK12" s="33">
        <v>11606.3</v>
      </c>
      <c r="BL12" s="8">
        <f t="shared" si="13"/>
        <v>46.425199999999997</v>
      </c>
      <c r="BM12" s="9">
        <v>11603.4</v>
      </c>
      <c r="BN12" s="9">
        <v>4555.7</v>
      </c>
      <c r="BO12" s="8">
        <f t="shared" si="22"/>
        <v>39.261768102452727</v>
      </c>
      <c r="BP12" s="9">
        <v>1020.3</v>
      </c>
      <c r="BQ12" s="9">
        <v>1020.3</v>
      </c>
      <c r="BR12" s="8">
        <f t="shared" si="23"/>
        <v>100</v>
      </c>
      <c r="BS12" s="8">
        <v>0</v>
      </c>
      <c r="BT12" s="8">
        <v>0</v>
      </c>
      <c r="BU12" s="8">
        <v>0</v>
      </c>
      <c r="BV12" s="8">
        <f>2657.2+2657.3</f>
        <v>5314.5</v>
      </c>
      <c r="BW12" s="32">
        <v>764.9</v>
      </c>
      <c r="BX12" s="8">
        <f t="shared" si="14"/>
        <v>14.392699219117508</v>
      </c>
    </row>
    <row r="13" spans="1:76" s="2" customFormat="1" ht="18.600000000000001" customHeight="1" x14ac:dyDescent="0.3">
      <c r="A13" s="11" t="s">
        <v>22</v>
      </c>
      <c r="B13" s="8">
        <f t="shared" si="1"/>
        <v>2321370.8000000003</v>
      </c>
      <c r="C13" s="8">
        <f t="shared" si="2"/>
        <v>1039975.4000000001</v>
      </c>
      <c r="D13" s="8">
        <f t="shared" si="3"/>
        <v>44.80005520875855</v>
      </c>
      <c r="E13" s="8">
        <v>223669.7</v>
      </c>
      <c r="F13" s="32">
        <f>28663+8868.2</f>
        <v>37531.199999999997</v>
      </c>
      <c r="G13" s="8">
        <f t="shared" si="15"/>
        <v>16.779742629421865</v>
      </c>
      <c r="H13" s="32">
        <v>797.2</v>
      </c>
      <c r="I13" s="33">
        <v>797.2</v>
      </c>
      <c r="J13" s="8">
        <f t="shared" si="4"/>
        <v>100</v>
      </c>
      <c r="K13" s="9">
        <v>83796.800000000003</v>
      </c>
      <c r="L13" s="8">
        <f>30364.6+20727.4+14050.1+1832.7</f>
        <v>66974.8</v>
      </c>
      <c r="M13" s="8">
        <f t="shared" si="5"/>
        <v>79.925247742157225</v>
      </c>
      <c r="N13" s="32">
        <v>0</v>
      </c>
      <c r="O13" s="32">
        <v>0</v>
      </c>
      <c r="P13" s="8">
        <v>0</v>
      </c>
      <c r="Q13" s="32">
        <v>197229.7</v>
      </c>
      <c r="R13" s="32">
        <v>140478.5</v>
      </c>
      <c r="S13" s="8">
        <f t="shared" si="16"/>
        <v>71.225834648635569</v>
      </c>
      <c r="T13" s="8">
        <v>0</v>
      </c>
      <c r="U13" s="8">
        <v>0</v>
      </c>
      <c r="V13" s="8">
        <v>0</v>
      </c>
      <c r="W13" s="40">
        <v>4952.3999999999996</v>
      </c>
      <c r="X13" s="32">
        <v>4915.7</v>
      </c>
      <c r="Y13" s="8">
        <f t="shared" si="7"/>
        <v>99.258945157903241</v>
      </c>
      <c r="Z13" s="8">
        <v>0</v>
      </c>
      <c r="AA13" s="8">
        <v>0</v>
      </c>
      <c r="AB13" s="8">
        <v>0</v>
      </c>
      <c r="AC13" s="18">
        <v>56768</v>
      </c>
      <c r="AD13" s="8">
        <v>37362.1</v>
      </c>
      <c r="AE13" s="8">
        <f t="shared" si="17"/>
        <v>65.815424182638111</v>
      </c>
      <c r="AF13" s="18">
        <v>600</v>
      </c>
      <c r="AG13" s="8">
        <v>0</v>
      </c>
      <c r="AH13" s="8">
        <f t="shared" si="18"/>
        <v>0</v>
      </c>
      <c r="AI13" s="40">
        <v>108450.4</v>
      </c>
      <c r="AJ13" s="32">
        <v>92564.4</v>
      </c>
      <c r="AK13" s="8">
        <f t="shared" si="8"/>
        <v>85.351829038897037</v>
      </c>
      <c r="AL13" s="40">
        <v>7629</v>
      </c>
      <c r="AM13" s="32">
        <v>5629</v>
      </c>
      <c r="AN13" s="8">
        <f t="shared" si="19"/>
        <v>73.784244330842839</v>
      </c>
      <c r="AO13" s="8" t="s">
        <v>1</v>
      </c>
      <c r="AP13" s="8">
        <v>0</v>
      </c>
      <c r="AQ13" s="8">
        <f t="shared" si="9"/>
        <v>0</v>
      </c>
      <c r="AR13" s="8">
        <f>67920.9+16600</f>
        <v>84520.9</v>
      </c>
      <c r="AS13" s="9">
        <f>2427.6+20607.2+6230.2+6253.7</f>
        <v>35518.699999999997</v>
      </c>
      <c r="AT13" s="8">
        <f t="shared" si="21"/>
        <v>42.023570501497268</v>
      </c>
      <c r="AU13" s="40">
        <v>14524.5</v>
      </c>
      <c r="AV13" s="32">
        <v>13049.8</v>
      </c>
      <c r="AW13" s="8">
        <f t="shared" si="10"/>
        <v>89.846810561465105</v>
      </c>
      <c r="AX13" s="8">
        <f>952994+542402.3</f>
        <v>1495396.3</v>
      </c>
      <c r="AY13" s="8">
        <f>381617.1+125554.2+48467.5+32859.3+7524</f>
        <v>596022.10000000009</v>
      </c>
      <c r="AZ13" s="8">
        <f t="shared" si="11"/>
        <v>39.857133523735484</v>
      </c>
      <c r="BA13" s="8">
        <v>0</v>
      </c>
      <c r="BB13" s="8">
        <v>0</v>
      </c>
      <c r="BC13" s="8">
        <v>0</v>
      </c>
      <c r="BD13" s="18">
        <f>3237.3+2948.8</f>
        <v>6186.1</v>
      </c>
      <c r="BE13" s="8">
        <v>964.9</v>
      </c>
      <c r="BF13" s="8">
        <f t="shared" si="12"/>
        <v>15.597872649973327</v>
      </c>
      <c r="BG13" s="18">
        <v>1439</v>
      </c>
      <c r="BH13" s="18">
        <v>0</v>
      </c>
      <c r="BI13" s="8">
        <f t="shared" ref="BI13:BI17" si="24">BH13/BG13*100</f>
        <v>0</v>
      </c>
      <c r="BJ13" s="40">
        <v>22500</v>
      </c>
      <c r="BK13" s="33">
        <v>7303.2</v>
      </c>
      <c r="BL13" s="8">
        <f t="shared" si="13"/>
        <v>32.458666666666666</v>
      </c>
      <c r="BM13" s="9">
        <v>5383</v>
      </c>
      <c r="BN13" s="9">
        <v>863.8</v>
      </c>
      <c r="BO13" s="8">
        <f t="shared" si="22"/>
        <v>16.046814044213264</v>
      </c>
      <c r="BP13" s="9">
        <v>0</v>
      </c>
      <c r="BQ13" s="9">
        <v>0</v>
      </c>
      <c r="BR13" s="8">
        <v>0</v>
      </c>
      <c r="BS13" s="8">
        <v>0</v>
      </c>
      <c r="BT13" s="8">
        <v>0</v>
      </c>
      <c r="BU13" s="8">
        <v>0</v>
      </c>
      <c r="BV13" s="8">
        <f>2095.8+5432</f>
        <v>7527.8</v>
      </c>
      <c r="BW13" s="32">
        <v>0</v>
      </c>
      <c r="BX13" s="8">
        <f t="shared" si="14"/>
        <v>0</v>
      </c>
    </row>
    <row r="14" spans="1:76" s="2" customFormat="1" ht="15.6" x14ac:dyDescent="0.3">
      <c r="A14" s="11" t="s">
        <v>51</v>
      </c>
      <c r="B14" s="8">
        <f t="shared" si="1"/>
        <v>1978323.0999999999</v>
      </c>
      <c r="C14" s="8">
        <f t="shared" si="2"/>
        <v>1303647.5999999999</v>
      </c>
      <c r="D14" s="8">
        <f t="shared" si="3"/>
        <v>65.896596971445149</v>
      </c>
      <c r="E14" s="8">
        <f>106733.8-5029.2</f>
        <v>101704.6</v>
      </c>
      <c r="F14" s="32">
        <f>211.9+35887.5</f>
        <v>36099.4</v>
      </c>
      <c r="G14" s="8">
        <f t="shared" si="15"/>
        <v>35.494363086822027</v>
      </c>
      <c r="H14" s="32">
        <v>1656.7</v>
      </c>
      <c r="I14" s="33">
        <v>985</v>
      </c>
      <c r="J14" s="8">
        <f t="shared" si="4"/>
        <v>59.455544154041164</v>
      </c>
      <c r="K14" s="9">
        <f>345894.9+1462.2</f>
        <v>347357.10000000003</v>
      </c>
      <c r="L14" s="8">
        <f>8170+190792+129350.6+10545.6</f>
        <v>338858.19999999995</v>
      </c>
      <c r="M14" s="8">
        <f t="shared" si="5"/>
        <v>97.553267228451617</v>
      </c>
      <c r="N14" s="32">
        <v>0</v>
      </c>
      <c r="O14" s="32">
        <v>0</v>
      </c>
      <c r="P14" s="8">
        <v>0</v>
      </c>
      <c r="Q14" s="32">
        <v>160061.5</v>
      </c>
      <c r="R14" s="32">
        <v>100715</v>
      </c>
      <c r="S14" s="8">
        <f t="shared" si="16"/>
        <v>62.922689091380505</v>
      </c>
      <c r="T14" s="8">
        <v>5050</v>
      </c>
      <c r="U14" s="8">
        <v>928.6</v>
      </c>
      <c r="V14" s="8">
        <f t="shared" ref="V14:V15" si="25">U14/T14*100</f>
        <v>18.388118811881188</v>
      </c>
      <c r="W14" s="40">
        <v>67795.899999999994</v>
      </c>
      <c r="X14" s="32">
        <f>7875.1+14871.9</f>
        <v>22747</v>
      </c>
      <c r="Y14" s="8">
        <f t="shared" si="7"/>
        <v>33.552176459048411</v>
      </c>
      <c r="Z14" s="8">
        <v>0</v>
      </c>
      <c r="AA14" s="8">
        <v>0</v>
      </c>
      <c r="AB14" s="8">
        <v>0</v>
      </c>
      <c r="AC14" s="18">
        <v>6615.2</v>
      </c>
      <c r="AD14" s="8">
        <v>1907.8</v>
      </c>
      <c r="AE14" s="8">
        <f t="shared" si="17"/>
        <v>28.839642036521951</v>
      </c>
      <c r="AF14" s="18">
        <v>11069</v>
      </c>
      <c r="AG14" s="8">
        <v>742.5</v>
      </c>
      <c r="AH14" s="8">
        <f t="shared" si="18"/>
        <v>6.70792302827717</v>
      </c>
      <c r="AI14" s="40">
        <v>123648.1</v>
      </c>
      <c r="AJ14" s="32">
        <v>96559.3</v>
      </c>
      <c r="AK14" s="8">
        <f t="shared" si="8"/>
        <v>78.09202082361152</v>
      </c>
      <c r="AL14" s="40">
        <v>15248.8</v>
      </c>
      <c r="AM14" s="32">
        <v>10668.6</v>
      </c>
      <c r="AN14" s="8">
        <f t="shared" si="19"/>
        <v>69.963538114474588</v>
      </c>
      <c r="AO14" s="8" t="s">
        <v>1</v>
      </c>
      <c r="AP14" s="8">
        <v>0</v>
      </c>
      <c r="AQ14" s="8">
        <f t="shared" si="9"/>
        <v>0</v>
      </c>
      <c r="AR14" s="8">
        <f>165766.3+7500</f>
        <v>173266.3</v>
      </c>
      <c r="AS14" s="9">
        <f>15850.4+23008+13527.1</f>
        <v>52385.5</v>
      </c>
      <c r="AT14" s="8">
        <f t="shared" si="21"/>
        <v>30.234096301473514</v>
      </c>
      <c r="AU14" s="40">
        <v>15272.1</v>
      </c>
      <c r="AV14" s="32">
        <v>15272.1</v>
      </c>
      <c r="AW14" s="8">
        <f t="shared" si="10"/>
        <v>100</v>
      </c>
      <c r="AX14" s="8">
        <v>880760.1</v>
      </c>
      <c r="AY14" s="8">
        <f>579882.8</f>
        <v>579882.80000000005</v>
      </c>
      <c r="AZ14" s="8">
        <f t="shared" si="11"/>
        <v>65.838904373620025</v>
      </c>
      <c r="BA14" s="8">
        <v>0</v>
      </c>
      <c r="BB14" s="8">
        <v>0</v>
      </c>
      <c r="BC14" s="8">
        <v>0</v>
      </c>
      <c r="BD14" s="18">
        <f>7751.7+7751.7</f>
        <v>15503.4</v>
      </c>
      <c r="BE14" s="8">
        <v>7751.7</v>
      </c>
      <c r="BF14" s="8">
        <f t="shared" si="12"/>
        <v>50</v>
      </c>
      <c r="BG14" s="18">
        <v>3704.4</v>
      </c>
      <c r="BH14" s="18">
        <v>0</v>
      </c>
      <c r="BI14" s="8">
        <v>0</v>
      </c>
      <c r="BJ14" s="40">
        <v>25000</v>
      </c>
      <c r="BK14" s="33">
        <v>24519.8</v>
      </c>
      <c r="BL14" s="8">
        <f t="shared" si="13"/>
        <v>98.0792</v>
      </c>
      <c r="BM14" s="9">
        <v>15201.3</v>
      </c>
      <c r="BN14" s="9">
        <v>13624.3</v>
      </c>
      <c r="BO14" s="8">
        <f t="shared" si="22"/>
        <v>89.625887259642269</v>
      </c>
      <c r="BP14" s="9">
        <v>0</v>
      </c>
      <c r="BQ14" s="9">
        <v>0</v>
      </c>
      <c r="BR14" s="8">
        <v>0</v>
      </c>
      <c r="BS14" s="8">
        <v>0</v>
      </c>
      <c r="BT14" s="8">
        <v>0</v>
      </c>
      <c r="BU14" s="8">
        <v>0</v>
      </c>
      <c r="BV14" s="8">
        <f>3737.5+5671.1</f>
        <v>9408.6</v>
      </c>
      <c r="BW14" s="32">
        <v>0</v>
      </c>
      <c r="BX14" s="8">
        <f t="shared" si="14"/>
        <v>0</v>
      </c>
    </row>
    <row r="15" spans="1:76" s="2" customFormat="1" ht="16.95" customHeight="1" x14ac:dyDescent="0.3">
      <c r="A15" s="11" t="s">
        <v>4</v>
      </c>
      <c r="B15" s="8">
        <f t="shared" si="1"/>
        <v>1783548.2999999998</v>
      </c>
      <c r="C15" s="8">
        <f t="shared" si="2"/>
        <v>867488.6</v>
      </c>
      <c r="D15" s="8">
        <f t="shared" si="3"/>
        <v>48.638357593119288</v>
      </c>
      <c r="E15" s="8">
        <v>99438.2</v>
      </c>
      <c r="F15" s="32">
        <f>21949+47720.7</f>
        <v>69669.7</v>
      </c>
      <c r="G15" s="8">
        <f t="shared" si="15"/>
        <v>70.063315707645557</v>
      </c>
      <c r="H15" s="32">
        <v>579.5</v>
      </c>
      <c r="I15" s="33">
        <v>579.4</v>
      </c>
      <c r="J15" s="8">
        <f t="shared" si="4"/>
        <v>99.982743744607419</v>
      </c>
      <c r="K15" s="18">
        <f>166744+31385.2</f>
        <v>198129.2</v>
      </c>
      <c r="L15" s="8">
        <v>148122.5</v>
      </c>
      <c r="M15" s="8">
        <f t="shared" si="5"/>
        <v>74.760560280867224</v>
      </c>
      <c r="N15" s="32">
        <v>45797.7</v>
      </c>
      <c r="O15" s="32">
        <v>2533.8000000000002</v>
      </c>
      <c r="P15" s="8">
        <f t="shared" ref="P15" si="26">O15/N15*100</f>
        <v>5.5325922480823282</v>
      </c>
      <c r="Q15" s="40">
        <v>98620.800000000003</v>
      </c>
      <c r="R15" s="32">
        <v>45270.7</v>
      </c>
      <c r="S15" s="8">
        <f t="shared" si="16"/>
        <v>45.903805282455622</v>
      </c>
      <c r="T15" s="8">
        <v>45000</v>
      </c>
      <c r="U15" s="8">
        <v>5846.3</v>
      </c>
      <c r="V15" s="8">
        <f t="shared" si="25"/>
        <v>12.991777777777777</v>
      </c>
      <c r="W15" s="40">
        <v>0</v>
      </c>
      <c r="X15" s="32">
        <v>0</v>
      </c>
      <c r="Y15" s="8">
        <v>0</v>
      </c>
      <c r="Z15" s="8">
        <v>0</v>
      </c>
      <c r="AA15" s="8">
        <v>0</v>
      </c>
      <c r="AB15" s="8">
        <v>0</v>
      </c>
      <c r="AC15" s="18">
        <v>2731.1</v>
      </c>
      <c r="AD15" s="8">
        <v>1510</v>
      </c>
      <c r="AE15" s="8">
        <f t="shared" si="17"/>
        <v>55.289077661015703</v>
      </c>
      <c r="AF15" s="18">
        <v>49869</v>
      </c>
      <c r="AG15" s="8">
        <v>15441</v>
      </c>
      <c r="AH15" s="8">
        <f t="shared" si="18"/>
        <v>30.963123383264151</v>
      </c>
      <c r="AI15" s="40">
        <v>118903.6</v>
      </c>
      <c r="AJ15" s="32">
        <v>57458.400000000001</v>
      </c>
      <c r="AK15" s="8">
        <f t="shared" si="8"/>
        <v>48.323515856542606</v>
      </c>
      <c r="AL15" s="40">
        <v>15577.7</v>
      </c>
      <c r="AM15" s="32">
        <v>4301.6000000000004</v>
      </c>
      <c r="AN15" s="8">
        <f t="shared" si="19"/>
        <v>27.613832594028644</v>
      </c>
      <c r="AO15" s="8" t="s">
        <v>1</v>
      </c>
      <c r="AP15" s="8">
        <v>0</v>
      </c>
      <c r="AQ15" s="8">
        <f t="shared" si="9"/>
        <v>0</v>
      </c>
      <c r="AR15" s="8">
        <v>59914.6</v>
      </c>
      <c r="AS15" s="9">
        <f>7111.7+5552.5+16744.7+11779.4</f>
        <v>41188.300000000003</v>
      </c>
      <c r="AT15" s="8">
        <f t="shared" si="21"/>
        <v>68.745013736217885</v>
      </c>
      <c r="AU15" s="40">
        <v>11660.2</v>
      </c>
      <c r="AV15" s="32">
        <v>4934.3999999999996</v>
      </c>
      <c r="AW15" s="8">
        <f t="shared" si="10"/>
        <v>42.318313579526937</v>
      </c>
      <c r="AX15" s="8">
        <f>904378.6+94357.4</f>
        <v>998736</v>
      </c>
      <c r="AY15" s="8">
        <v>447340.6</v>
      </c>
      <c r="AZ15" s="8">
        <f t="shared" si="11"/>
        <v>44.790675413722944</v>
      </c>
      <c r="BA15" s="8">
        <v>0</v>
      </c>
      <c r="BB15" s="8">
        <v>0</v>
      </c>
      <c r="BC15" s="8">
        <v>0</v>
      </c>
      <c r="BD15" s="18">
        <f>3029.4+3023.6</f>
        <v>6053</v>
      </c>
      <c r="BE15" s="8">
        <v>3023.6</v>
      </c>
      <c r="BF15" s="8">
        <f t="shared" si="12"/>
        <v>49.952089872790353</v>
      </c>
      <c r="BG15" s="18">
        <v>3720.9</v>
      </c>
      <c r="BH15" s="18">
        <v>0</v>
      </c>
      <c r="BI15" s="8">
        <f t="shared" si="24"/>
        <v>0</v>
      </c>
      <c r="BJ15" s="40">
        <v>12500</v>
      </c>
      <c r="BK15" s="33">
        <v>10749.8</v>
      </c>
      <c r="BL15" s="8">
        <f t="shared" si="13"/>
        <v>85.998400000000004</v>
      </c>
      <c r="BM15" s="9">
        <v>14432.3</v>
      </c>
      <c r="BN15" s="9">
        <v>8496.5</v>
      </c>
      <c r="BO15" s="8">
        <f t="shared" si="22"/>
        <v>58.871420355729867</v>
      </c>
      <c r="BP15" s="9">
        <v>0</v>
      </c>
      <c r="BQ15" s="9">
        <v>0</v>
      </c>
      <c r="BR15" s="8">
        <v>0</v>
      </c>
      <c r="BS15" s="8">
        <v>0</v>
      </c>
      <c r="BT15" s="8">
        <v>0</v>
      </c>
      <c r="BU15" s="8">
        <v>0</v>
      </c>
      <c r="BV15" s="8">
        <v>1884.5</v>
      </c>
      <c r="BW15" s="32">
        <v>1022</v>
      </c>
      <c r="BX15" s="8">
        <f t="shared" si="14"/>
        <v>54.231891748474389</v>
      </c>
    </row>
    <row r="16" spans="1:76" s="2" customFormat="1" ht="17.399999999999999" customHeight="1" x14ac:dyDescent="0.3">
      <c r="A16" s="11" t="s">
        <v>5</v>
      </c>
      <c r="B16" s="8">
        <f t="shared" si="1"/>
        <v>473174.4</v>
      </c>
      <c r="C16" s="8">
        <f t="shared" si="2"/>
        <v>146193.39999999997</v>
      </c>
      <c r="D16" s="8">
        <f t="shared" si="3"/>
        <v>30.896303772985174</v>
      </c>
      <c r="E16" s="18">
        <v>659.3</v>
      </c>
      <c r="F16" s="32">
        <v>0</v>
      </c>
      <c r="G16" s="8">
        <v>0</v>
      </c>
      <c r="H16" s="32">
        <v>72.599999999999994</v>
      </c>
      <c r="I16" s="33">
        <v>0</v>
      </c>
      <c r="J16" s="8">
        <f t="shared" si="4"/>
        <v>0</v>
      </c>
      <c r="K16" s="18">
        <f>18224.8+1188</f>
        <v>19412.8</v>
      </c>
      <c r="L16" s="8">
        <v>5204.7</v>
      </c>
      <c r="M16" s="8">
        <f t="shared" si="5"/>
        <v>26.810661007170527</v>
      </c>
      <c r="N16" s="32">
        <v>0</v>
      </c>
      <c r="O16" s="32">
        <v>0</v>
      </c>
      <c r="P16" s="8">
        <v>0</v>
      </c>
      <c r="Q16" s="40">
        <v>136637.29999999999</v>
      </c>
      <c r="R16" s="32">
        <v>736.6</v>
      </c>
      <c r="S16" s="8">
        <f t="shared" si="16"/>
        <v>0.53909144867470304</v>
      </c>
      <c r="T16" s="8">
        <v>0</v>
      </c>
      <c r="U16" s="8">
        <v>0</v>
      </c>
      <c r="V16" s="8">
        <v>0</v>
      </c>
      <c r="W16" s="40">
        <v>819.6</v>
      </c>
      <c r="X16" s="32">
        <v>0</v>
      </c>
      <c r="Y16" s="8">
        <f t="shared" si="7"/>
        <v>0</v>
      </c>
      <c r="Z16" s="8">
        <v>0</v>
      </c>
      <c r="AA16" s="8">
        <v>0</v>
      </c>
      <c r="AB16" s="8">
        <v>0</v>
      </c>
      <c r="AC16" s="18">
        <v>336.2</v>
      </c>
      <c r="AD16" s="8">
        <v>185.3</v>
      </c>
      <c r="AE16" s="8">
        <f t="shared" si="17"/>
        <v>55.116002379535999</v>
      </c>
      <c r="AF16" s="18">
        <v>99</v>
      </c>
      <c r="AG16" s="8">
        <v>0</v>
      </c>
      <c r="AH16" s="8">
        <v>0</v>
      </c>
      <c r="AI16" s="32">
        <v>110431.4</v>
      </c>
      <c r="AJ16" s="32">
        <v>82014.899999999994</v>
      </c>
      <c r="AK16" s="8">
        <f t="shared" si="8"/>
        <v>74.267735444810086</v>
      </c>
      <c r="AL16" s="40">
        <v>7884.9</v>
      </c>
      <c r="AM16" s="32">
        <v>4861.8999999999996</v>
      </c>
      <c r="AN16" s="8">
        <f t="shared" si="19"/>
        <v>61.660896143261169</v>
      </c>
      <c r="AO16" s="8" t="s">
        <v>1</v>
      </c>
      <c r="AP16" s="8">
        <v>0</v>
      </c>
      <c r="AQ16" s="8">
        <f t="shared" si="9"/>
        <v>0</v>
      </c>
      <c r="AR16" s="8">
        <v>63940</v>
      </c>
      <c r="AS16" s="9">
        <f>2542.4+8763.1+26439.7+5935.1</f>
        <v>43680.299999999996</v>
      </c>
      <c r="AT16" s="8">
        <f t="shared" si="21"/>
        <v>68.314513606506083</v>
      </c>
      <c r="AU16" s="40">
        <v>9492.5</v>
      </c>
      <c r="AV16" s="32">
        <v>2156.8000000000002</v>
      </c>
      <c r="AW16" s="8">
        <f t="shared" si="10"/>
        <v>22.721095601790889</v>
      </c>
      <c r="AX16" s="8">
        <v>112805</v>
      </c>
      <c r="AY16" s="8">
        <v>0</v>
      </c>
      <c r="AZ16" s="8">
        <f t="shared" si="11"/>
        <v>0</v>
      </c>
      <c r="BA16" s="8">
        <v>0</v>
      </c>
      <c r="BB16" s="8">
        <v>0</v>
      </c>
      <c r="BC16" s="8">
        <v>0</v>
      </c>
      <c r="BD16" s="18">
        <v>0</v>
      </c>
      <c r="BE16" s="8">
        <v>0</v>
      </c>
      <c r="BF16" s="8">
        <v>0</v>
      </c>
      <c r="BG16" s="18">
        <v>0</v>
      </c>
      <c r="BH16" s="18">
        <v>0</v>
      </c>
      <c r="BI16" s="8">
        <v>0</v>
      </c>
      <c r="BJ16" s="40">
        <v>10000</v>
      </c>
      <c r="BK16" s="33">
        <v>7352.9</v>
      </c>
      <c r="BL16" s="8">
        <f t="shared" si="13"/>
        <v>73.528999999999996</v>
      </c>
      <c r="BM16" s="9">
        <v>0</v>
      </c>
      <c r="BN16" s="9">
        <v>0</v>
      </c>
      <c r="BO16" s="8">
        <v>0</v>
      </c>
      <c r="BP16" s="9">
        <v>0</v>
      </c>
      <c r="BQ16" s="9">
        <v>0</v>
      </c>
      <c r="BR16" s="8">
        <v>0</v>
      </c>
      <c r="BS16" s="8">
        <v>0</v>
      </c>
      <c r="BT16" s="8">
        <v>0</v>
      </c>
      <c r="BU16" s="8">
        <v>0</v>
      </c>
      <c r="BV16" s="8">
        <v>583.79999999999995</v>
      </c>
      <c r="BW16" s="32"/>
      <c r="BX16" s="8">
        <f t="shared" si="14"/>
        <v>0</v>
      </c>
    </row>
    <row r="17" spans="1:76" s="2" customFormat="1" ht="15.6" x14ac:dyDescent="0.3">
      <c r="A17" s="11" t="s">
        <v>52</v>
      </c>
      <c r="B17" s="8">
        <f t="shared" si="1"/>
        <v>558648.30000000005</v>
      </c>
      <c r="C17" s="8">
        <f t="shared" si="2"/>
        <v>146400.79999999999</v>
      </c>
      <c r="D17" s="8">
        <f t="shared" si="3"/>
        <v>26.206255348848277</v>
      </c>
      <c r="E17" s="18">
        <v>19937.5</v>
      </c>
      <c r="F17" s="32">
        <v>996.1</v>
      </c>
      <c r="G17" s="8">
        <f t="shared" si="15"/>
        <v>4.9961128526645773</v>
      </c>
      <c r="H17" s="32">
        <v>398.1</v>
      </c>
      <c r="I17" s="33">
        <v>398.1</v>
      </c>
      <c r="J17" s="8">
        <f t="shared" si="4"/>
        <v>100</v>
      </c>
      <c r="K17" s="18">
        <v>72760.899999999994</v>
      </c>
      <c r="L17" s="8">
        <f>532.2+3356.1+34627.2+19374.3</f>
        <v>57889.8</v>
      </c>
      <c r="M17" s="8">
        <f t="shared" si="5"/>
        <v>79.561687664666053</v>
      </c>
      <c r="N17" s="32">
        <v>0</v>
      </c>
      <c r="O17" s="32">
        <v>0</v>
      </c>
      <c r="P17" s="8">
        <v>0</v>
      </c>
      <c r="Q17" s="32">
        <v>22570.3</v>
      </c>
      <c r="R17" s="32">
        <v>9386.2000000000007</v>
      </c>
      <c r="S17" s="8">
        <f t="shared" si="16"/>
        <v>41.586509705232103</v>
      </c>
      <c r="T17" s="8">
        <v>0</v>
      </c>
      <c r="U17" s="8">
        <v>0</v>
      </c>
      <c r="V17" s="8">
        <v>0</v>
      </c>
      <c r="W17" s="40">
        <v>712.8</v>
      </c>
      <c r="X17" s="32">
        <v>712.8</v>
      </c>
      <c r="Y17" s="8">
        <f t="shared" si="7"/>
        <v>100</v>
      </c>
      <c r="Z17" s="8">
        <v>623.70000000000005</v>
      </c>
      <c r="AA17" s="8">
        <v>0</v>
      </c>
      <c r="AB17" s="8">
        <f t="shared" ref="AB17:AB26" si="27">AA17/Z17*100</f>
        <v>0</v>
      </c>
      <c r="AC17" s="18">
        <v>471.5</v>
      </c>
      <c r="AD17" s="8">
        <v>149.5</v>
      </c>
      <c r="AE17" s="8">
        <f t="shared" si="17"/>
        <v>31.707317073170731</v>
      </c>
      <c r="AF17" s="18">
        <v>30294</v>
      </c>
      <c r="AG17" s="8">
        <v>297</v>
      </c>
      <c r="AH17" s="8">
        <f t="shared" si="18"/>
        <v>0.98039215686274506</v>
      </c>
      <c r="AI17" s="40">
        <v>42631.199999999997</v>
      </c>
      <c r="AJ17" s="32">
        <v>19565.2</v>
      </c>
      <c r="AK17" s="8">
        <f t="shared" si="8"/>
        <v>45.894086959785326</v>
      </c>
      <c r="AL17" s="40">
        <v>3714.4</v>
      </c>
      <c r="AM17" s="32">
        <v>3714.4</v>
      </c>
      <c r="AN17" s="8">
        <f t="shared" si="19"/>
        <v>100</v>
      </c>
      <c r="AO17" s="8" t="s">
        <v>1</v>
      </c>
      <c r="AP17" s="8">
        <v>0</v>
      </c>
      <c r="AQ17" s="8">
        <f t="shared" si="9"/>
        <v>0</v>
      </c>
      <c r="AR17" s="8">
        <v>64980.800000000003</v>
      </c>
      <c r="AS17" s="9">
        <f>10219.5+7093.5+18267.8+9741</f>
        <v>45321.8</v>
      </c>
      <c r="AT17" s="8">
        <f t="shared" si="21"/>
        <v>69.746448181616728</v>
      </c>
      <c r="AU17" s="40">
        <v>6111.4</v>
      </c>
      <c r="AV17" s="32">
        <v>4209.2</v>
      </c>
      <c r="AW17" s="8">
        <f t="shared" si="10"/>
        <v>68.874562293418862</v>
      </c>
      <c r="AX17" s="8">
        <f>156086+117634.4</f>
        <v>273720.40000000002</v>
      </c>
      <c r="AY17" s="8">
        <v>1003.3</v>
      </c>
      <c r="AZ17" s="8">
        <f t="shared" si="11"/>
        <v>0.36654191649581103</v>
      </c>
      <c r="BA17" s="8">
        <v>0</v>
      </c>
      <c r="BB17" s="8">
        <v>0</v>
      </c>
      <c r="BC17" s="8">
        <v>0</v>
      </c>
      <c r="BD17" s="18">
        <f>2049.3+1951.8</f>
        <v>4001.1000000000004</v>
      </c>
      <c r="BE17" s="8">
        <v>567.9</v>
      </c>
      <c r="BF17" s="8">
        <f t="shared" si="12"/>
        <v>14.193596760890753</v>
      </c>
      <c r="BG17" s="18">
        <v>98.8</v>
      </c>
      <c r="BH17" s="18">
        <v>0</v>
      </c>
      <c r="BI17" s="8">
        <f t="shared" si="24"/>
        <v>0</v>
      </c>
      <c r="BJ17" s="40">
        <v>5000</v>
      </c>
      <c r="BK17" s="33">
        <v>0</v>
      </c>
      <c r="BL17" s="8">
        <f t="shared" si="13"/>
        <v>0</v>
      </c>
      <c r="BM17" s="9">
        <v>9870</v>
      </c>
      <c r="BN17" s="9">
        <v>2189.5</v>
      </c>
      <c r="BO17" s="8">
        <f t="shared" si="22"/>
        <v>22.18338399189463</v>
      </c>
      <c r="BP17" s="9">
        <v>0</v>
      </c>
      <c r="BQ17" s="9">
        <v>0</v>
      </c>
      <c r="BR17" s="8">
        <v>0</v>
      </c>
      <c r="BS17" s="8">
        <v>0</v>
      </c>
      <c r="BT17" s="8">
        <v>0</v>
      </c>
      <c r="BU17" s="8">
        <v>0</v>
      </c>
      <c r="BV17" s="8">
        <v>751.4</v>
      </c>
      <c r="BW17" s="32">
        <v>0</v>
      </c>
      <c r="BX17" s="8">
        <f t="shared" si="14"/>
        <v>0</v>
      </c>
    </row>
    <row r="18" spans="1:76" s="2" customFormat="1" ht="19.2" customHeight="1" x14ac:dyDescent="0.3">
      <c r="A18" s="11" t="s">
        <v>6</v>
      </c>
      <c r="B18" s="8">
        <f t="shared" si="1"/>
        <v>1791699.0999999996</v>
      </c>
      <c r="C18" s="8">
        <f t="shared" si="2"/>
        <v>446679.2</v>
      </c>
      <c r="D18" s="8">
        <f t="shared" si="3"/>
        <v>24.93048079334304</v>
      </c>
      <c r="E18" s="18">
        <v>46757</v>
      </c>
      <c r="F18" s="32">
        <f>37377.7+216.6</f>
        <v>37594.299999999996</v>
      </c>
      <c r="G18" s="8">
        <f t="shared" si="15"/>
        <v>80.40357593515408</v>
      </c>
      <c r="H18" s="32">
        <v>324.60000000000002</v>
      </c>
      <c r="I18" s="33">
        <v>324.60000000000002</v>
      </c>
      <c r="J18" s="8">
        <f t="shared" si="4"/>
        <v>100</v>
      </c>
      <c r="K18" s="18">
        <v>8129.5</v>
      </c>
      <c r="L18" s="8">
        <f>641.5+1283</f>
        <v>1924.5</v>
      </c>
      <c r="M18" s="8">
        <f t="shared" si="5"/>
        <v>23.673042622547513</v>
      </c>
      <c r="N18" s="32">
        <v>0</v>
      </c>
      <c r="O18" s="32">
        <v>0</v>
      </c>
      <c r="P18" s="8">
        <v>0</v>
      </c>
      <c r="Q18" s="32">
        <v>39441.800000000003</v>
      </c>
      <c r="R18" s="32">
        <v>11128.2</v>
      </c>
      <c r="S18" s="8">
        <f t="shared" si="16"/>
        <v>28.214229573701001</v>
      </c>
      <c r="T18" s="8">
        <v>0</v>
      </c>
      <c r="U18" s="8">
        <v>0</v>
      </c>
      <c r="V18" s="8">
        <v>0</v>
      </c>
      <c r="W18" s="40">
        <v>2574</v>
      </c>
      <c r="X18" s="32">
        <v>2354.4</v>
      </c>
      <c r="Y18" s="8">
        <f t="shared" si="7"/>
        <v>91.468531468531467</v>
      </c>
      <c r="Z18" s="8">
        <v>0</v>
      </c>
      <c r="AA18" s="8">
        <v>0</v>
      </c>
      <c r="AB18" s="8">
        <v>0</v>
      </c>
      <c r="AC18" s="18">
        <v>762.1</v>
      </c>
      <c r="AD18" s="8">
        <v>595.79999999999995</v>
      </c>
      <c r="AE18" s="8">
        <f t="shared" si="17"/>
        <v>78.178716703844628</v>
      </c>
      <c r="AF18" s="18">
        <v>4909</v>
      </c>
      <c r="AG18" s="8">
        <v>2104</v>
      </c>
      <c r="AH18" s="8">
        <f t="shared" si="18"/>
        <v>42.86005296394378</v>
      </c>
      <c r="AI18" s="40">
        <v>35658.300000000003</v>
      </c>
      <c r="AJ18" s="32">
        <v>28615</v>
      </c>
      <c r="AK18" s="8">
        <f t="shared" si="8"/>
        <v>80.247796445708289</v>
      </c>
      <c r="AL18" s="40">
        <v>6221.7</v>
      </c>
      <c r="AM18" s="32">
        <v>207.6</v>
      </c>
      <c r="AN18" s="8">
        <f t="shared" si="19"/>
        <v>3.3367086166160376</v>
      </c>
      <c r="AO18" s="8" t="s">
        <v>1</v>
      </c>
      <c r="AP18" s="8">
        <v>0</v>
      </c>
      <c r="AQ18" s="8">
        <f t="shared" si="9"/>
        <v>0</v>
      </c>
      <c r="AR18" s="8">
        <v>30354.3</v>
      </c>
      <c r="AS18" s="9">
        <f>1565.8+9695</f>
        <v>11260.8</v>
      </c>
      <c r="AT18" s="8">
        <f t="shared" si="21"/>
        <v>37.097874106798706</v>
      </c>
      <c r="AU18" s="40">
        <v>6110.7</v>
      </c>
      <c r="AV18" s="32">
        <v>6110.7</v>
      </c>
      <c r="AW18" s="8">
        <f t="shared" si="10"/>
        <v>100</v>
      </c>
      <c r="AX18" s="8">
        <f>1476753.2+111707.9</f>
        <v>1588461.0999999999</v>
      </c>
      <c r="AY18" s="8">
        <v>335669.7</v>
      </c>
      <c r="AZ18" s="8">
        <f t="shared" si="11"/>
        <v>21.131754501259113</v>
      </c>
      <c r="BA18" s="8">
        <v>0</v>
      </c>
      <c r="BB18" s="8">
        <v>0</v>
      </c>
      <c r="BC18" s="8">
        <v>0</v>
      </c>
      <c r="BD18" s="18">
        <f>2673+3798.7</f>
        <v>6471.7</v>
      </c>
      <c r="BE18" s="8">
        <f>3198.7</f>
        <v>3198.7</v>
      </c>
      <c r="BF18" s="8">
        <f t="shared" si="12"/>
        <v>49.425962266483303</v>
      </c>
      <c r="BG18" s="18">
        <v>0</v>
      </c>
      <c r="BH18" s="18">
        <v>0</v>
      </c>
      <c r="BI18" s="8">
        <v>0</v>
      </c>
      <c r="BJ18" s="40">
        <v>10000</v>
      </c>
      <c r="BK18" s="33">
        <v>5590.9</v>
      </c>
      <c r="BL18" s="8">
        <f t="shared" si="13"/>
        <v>55.908999999999999</v>
      </c>
      <c r="BM18" s="9">
        <v>4439.3999999999996</v>
      </c>
      <c r="BN18" s="9">
        <v>0</v>
      </c>
      <c r="BO18" s="8">
        <f t="shared" si="22"/>
        <v>0</v>
      </c>
      <c r="BP18" s="9">
        <v>0</v>
      </c>
      <c r="BQ18" s="9">
        <v>0</v>
      </c>
      <c r="BR18" s="8">
        <v>0</v>
      </c>
      <c r="BS18" s="8">
        <v>0</v>
      </c>
      <c r="BT18" s="8">
        <v>0</v>
      </c>
      <c r="BU18" s="8">
        <v>0</v>
      </c>
      <c r="BV18" s="8">
        <v>1083.9000000000001</v>
      </c>
      <c r="BW18" s="32">
        <v>0</v>
      </c>
      <c r="BX18" s="8">
        <f t="shared" si="14"/>
        <v>0</v>
      </c>
    </row>
    <row r="19" spans="1:76" s="2" customFormat="1" ht="18" customHeight="1" x14ac:dyDescent="0.3">
      <c r="A19" s="11" t="s">
        <v>7</v>
      </c>
      <c r="B19" s="8">
        <f t="shared" si="1"/>
        <v>1262710.3000000003</v>
      </c>
      <c r="C19" s="8">
        <f t="shared" si="2"/>
        <v>514536.9</v>
      </c>
      <c r="D19" s="8">
        <f t="shared" si="3"/>
        <v>40.748610350291742</v>
      </c>
      <c r="E19" s="18">
        <f>75586.8-900</f>
        <v>74686.8</v>
      </c>
      <c r="F19" s="32">
        <f>9226.1+5784.4</f>
        <v>15010.5</v>
      </c>
      <c r="G19" s="8">
        <f t="shared" si="15"/>
        <v>20.097928951300631</v>
      </c>
      <c r="H19" s="32">
        <v>528.29999999999995</v>
      </c>
      <c r="I19" s="33">
        <v>363.6</v>
      </c>
      <c r="J19" s="8">
        <f t="shared" si="4"/>
        <v>68.824531516183995</v>
      </c>
      <c r="K19" s="18">
        <v>30611.5</v>
      </c>
      <c r="L19" s="8">
        <f>13278.8+1163.8</f>
        <v>14442.599999999999</v>
      </c>
      <c r="M19" s="8">
        <f t="shared" si="5"/>
        <v>47.180308054162644</v>
      </c>
      <c r="N19" s="32">
        <v>0</v>
      </c>
      <c r="O19" s="32">
        <v>0</v>
      </c>
      <c r="P19" s="8">
        <v>0</v>
      </c>
      <c r="Q19" s="32">
        <v>42210.1</v>
      </c>
      <c r="R19" s="32">
        <v>28001.1</v>
      </c>
      <c r="S19" s="8">
        <f t="shared" si="16"/>
        <v>66.337440565172784</v>
      </c>
      <c r="T19" s="8">
        <v>3530</v>
      </c>
      <c r="U19" s="8">
        <v>0</v>
      </c>
      <c r="V19" s="8">
        <v>0</v>
      </c>
      <c r="W19" s="40">
        <v>36630.5</v>
      </c>
      <c r="X19" s="32">
        <f>1599+4455.5</f>
        <v>6054.5</v>
      </c>
      <c r="Y19" s="8">
        <f t="shared" si="7"/>
        <v>16.528575913514697</v>
      </c>
      <c r="Z19" s="8">
        <v>0</v>
      </c>
      <c r="AA19" s="8">
        <v>0</v>
      </c>
      <c r="AB19" s="8">
        <v>0</v>
      </c>
      <c r="AC19" s="18">
        <f>89628.7+6000</f>
        <v>95628.7</v>
      </c>
      <c r="AD19" s="8">
        <f>12799.2+388.9</f>
        <v>13188.1</v>
      </c>
      <c r="AE19" s="8">
        <f t="shared" si="17"/>
        <v>13.790943513819599</v>
      </c>
      <c r="AF19" s="18">
        <v>9862.5</v>
      </c>
      <c r="AG19" s="8">
        <v>798.7</v>
      </c>
      <c r="AH19" s="8">
        <f t="shared" si="18"/>
        <v>8.098352344740178</v>
      </c>
      <c r="AI19" s="40">
        <v>38968.6</v>
      </c>
      <c r="AJ19" s="32">
        <v>38882.1</v>
      </c>
      <c r="AK19" s="8">
        <f t="shared" si="8"/>
        <v>99.778026411007829</v>
      </c>
      <c r="AL19" s="40">
        <v>4011.2</v>
      </c>
      <c r="AM19" s="32">
        <v>3319</v>
      </c>
      <c r="AN19" s="8">
        <f t="shared" si="19"/>
        <v>82.74331870761867</v>
      </c>
      <c r="AO19" s="8" t="s">
        <v>1</v>
      </c>
      <c r="AP19" s="8">
        <v>0</v>
      </c>
      <c r="AQ19" s="8">
        <f t="shared" si="9"/>
        <v>0</v>
      </c>
      <c r="AR19" s="8">
        <f>68376.7+1000</f>
        <v>69376.7</v>
      </c>
      <c r="AS19" s="9">
        <f>4806.6+19333.1+14054.7+7082.5</f>
        <v>45276.899999999994</v>
      </c>
      <c r="AT19" s="8">
        <f t="shared" si="21"/>
        <v>65.262400777206182</v>
      </c>
      <c r="AU19" s="40">
        <v>7800.5</v>
      </c>
      <c r="AV19" s="32">
        <v>7800.5</v>
      </c>
      <c r="AW19" s="8">
        <f t="shared" si="10"/>
        <v>100</v>
      </c>
      <c r="AX19" s="8">
        <f>415593.3+377864.4</f>
        <v>793457.7</v>
      </c>
      <c r="AY19" s="8">
        <v>308794.2</v>
      </c>
      <c r="AZ19" s="8">
        <f t="shared" si="11"/>
        <v>38.91753775910172</v>
      </c>
      <c r="BA19" s="8">
        <v>0</v>
      </c>
      <c r="BB19" s="8">
        <v>0</v>
      </c>
      <c r="BC19" s="8">
        <v>0</v>
      </c>
      <c r="BD19" s="18">
        <f>7217.1+8770</f>
        <v>15987.1</v>
      </c>
      <c r="BE19" s="8">
        <v>7210</v>
      </c>
      <c r="BF19" s="8">
        <f t="shared" si="12"/>
        <v>45.098860956646298</v>
      </c>
      <c r="BG19" s="18">
        <v>0</v>
      </c>
      <c r="BH19" s="18">
        <v>0</v>
      </c>
      <c r="BI19" s="8">
        <v>0</v>
      </c>
      <c r="BJ19" s="40">
        <v>12500</v>
      </c>
      <c r="BK19" s="33">
        <v>10399.4</v>
      </c>
      <c r="BL19" s="8">
        <f t="shared" si="13"/>
        <v>83.1952</v>
      </c>
      <c r="BM19" s="9">
        <v>19818.5</v>
      </c>
      <c r="BN19" s="9">
        <v>13975.4</v>
      </c>
      <c r="BO19" s="8">
        <f t="shared" si="22"/>
        <v>70.516941241769047</v>
      </c>
      <c r="BP19" s="9">
        <v>1020.3</v>
      </c>
      <c r="BQ19" s="9">
        <v>1020.3</v>
      </c>
      <c r="BR19" s="8">
        <f t="shared" si="23"/>
        <v>100</v>
      </c>
      <c r="BS19" s="8">
        <v>0</v>
      </c>
      <c r="BT19" s="8">
        <v>0</v>
      </c>
      <c r="BU19" s="8">
        <v>0</v>
      </c>
      <c r="BV19" s="8">
        <f>1081.3+5000</f>
        <v>6081.3</v>
      </c>
      <c r="BW19" s="32">
        <v>0</v>
      </c>
      <c r="BX19" s="8">
        <f t="shared" si="14"/>
        <v>0</v>
      </c>
    </row>
    <row r="20" spans="1:76" s="2" customFormat="1" ht="18" customHeight="1" x14ac:dyDescent="0.3">
      <c r="A20" s="11" t="s">
        <v>8</v>
      </c>
      <c r="B20" s="8">
        <f t="shared" si="1"/>
        <v>344748.1</v>
      </c>
      <c r="C20" s="8">
        <f t="shared" si="2"/>
        <v>137354.49999999997</v>
      </c>
      <c r="D20" s="8">
        <f t="shared" si="3"/>
        <v>39.841988976879058</v>
      </c>
      <c r="E20" s="18">
        <v>7201.2</v>
      </c>
      <c r="F20" s="32">
        <v>239.3</v>
      </c>
      <c r="G20" s="8">
        <f t="shared" si="15"/>
        <v>3.3230572682330726</v>
      </c>
      <c r="H20" s="32">
        <v>34.4</v>
      </c>
      <c r="I20" s="33">
        <v>34.4</v>
      </c>
      <c r="J20" s="8">
        <f t="shared" si="4"/>
        <v>100</v>
      </c>
      <c r="K20" s="18">
        <v>3384.6</v>
      </c>
      <c r="L20" s="8">
        <v>0</v>
      </c>
      <c r="M20" s="8">
        <f t="shared" si="5"/>
        <v>0</v>
      </c>
      <c r="N20" s="32">
        <v>0</v>
      </c>
      <c r="O20" s="32">
        <v>0</v>
      </c>
      <c r="P20" s="8">
        <v>0</v>
      </c>
      <c r="Q20" s="32">
        <v>98599.9</v>
      </c>
      <c r="R20" s="32">
        <v>24930</v>
      </c>
      <c r="S20" s="8">
        <f t="shared" si="16"/>
        <v>25.284001302232561</v>
      </c>
      <c r="T20" s="8">
        <v>0</v>
      </c>
      <c r="U20" s="8">
        <v>0</v>
      </c>
      <c r="V20" s="8">
        <v>0</v>
      </c>
      <c r="W20" s="40">
        <v>0</v>
      </c>
      <c r="X20" s="32">
        <v>0</v>
      </c>
      <c r="Y20" s="8">
        <v>0</v>
      </c>
      <c r="Z20" s="8">
        <v>0</v>
      </c>
      <c r="AA20" s="8">
        <v>0</v>
      </c>
      <c r="AB20" s="8">
        <v>0</v>
      </c>
      <c r="AC20" s="18">
        <v>19338.3</v>
      </c>
      <c r="AD20" s="8">
        <v>99.3</v>
      </c>
      <c r="AE20" s="8">
        <f t="shared" si="17"/>
        <v>0.51348877615922806</v>
      </c>
      <c r="AF20" s="18">
        <v>99</v>
      </c>
      <c r="AG20" s="8">
        <v>0</v>
      </c>
      <c r="AH20" s="8">
        <v>0</v>
      </c>
      <c r="AI20" s="40">
        <v>141592</v>
      </c>
      <c r="AJ20" s="32">
        <v>72232.5</v>
      </c>
      <c r="AK20" s="8">
        <f t="shared" si="8"/>
        <v>51.014534719475677</v>
      </c>
      <c r="AL20" s="40">
        <v>3140</v>
      </c>
      <c r="AM20" s="32">
        <v>2157.4</v>
      </c>
      <c r="AN20" s="8">
        <f t="shared" si="19"/>
        <v>68.707006369426765</v>
      </c>
      <c r="AO20" s="8" t="s">
        <v>1</v>
      </c>
      <c r="AP20" s="8">
        <v>0</v>
      </c>
      <c r="AQ20" s="8">
        <f t="shared" si="9"/>
        <v>0</v>
      </c>
      <c r="AR20" s="8">
        <v>59278.9</v>
      </c>
      <c r="AS20" s="9">
        <f>19613.4+6120.3+8112</f>
        <v>33845.699999999997</v>
      </c>
      <c r="AT20" s="8">
        <f t="shared" si="21"/>
        <v>57.095695095556763</v>
      </c>
      <c r="AU20" s="40">
        <v>964.5</v>
      </c>
      <c r="AV20" s="32">
        <v>964.5</v>
      </c>
      <c r="AW20" s="8">
        <f t="shared" si="10"/>
        <v>100</v>
      </c>
      <c r="AX20" s="8">
        <v>3685.1</v>
      </c>
      <c r="AY20" s="8">
        <v>2482.9</v>
      </c>
      <c r="AZ20" s="8">
        <f t="shared" si="11"/>
        <v>67.37673333152425</v>
      </c>
      <c r="BA20" s="8">
        <v>2.6</v>
      </c>
      <c r="BB20" s="8">
        <v>0</v>
      </c>
      <c r="BC20" s="8">
        <f t="shared" ref="BC20:BC28" si="28">BB20/BA20*100</f>
        <v>0</v>
      </c>
      <c r="BD20" s="18">
        <v>0</v>
      </c>
      <c r="BE20" s="8">
        <v>0</v>
      </c>
      <c r="BF20" s="8">
        <v>0</v>
      </c>
      <c r="BG20" s="18">
        <v>0</v>
      </c>
      <c r="BH20" s="18">
        <v>0</v>
      </c>
      <c r="BI20" s="8">
        <v>0</v>
      </c>
      <c r="BJ20" s="40">
        <v>2500</v>
      </c>
      <c r="BK20" s="33">
        <v>368.5</v>
      </c>
      <c r="BL20" s="8">
        <f t="shared" si="13"/>
        <v>14.74</v>
      </c>
      <c r="BM20" s="9">
        <v>4706</v>
      </c>
      <c r="BN20" s="9">
        <v>0</v>
      </c>
      <c r="BO20" s="8">
        <v>0</v>
      </c>
      <c r="BP20" s="9">
        <v>0</v>
      </c>
      <c r="BQ20" s="9">
        <v>0</v>
      </c>
      <c r="BR20" s="8">
        <v>0</v>
      </c>
      <c r="BS20" s="8">
        <v>0</v>
      </c>
      <c r="BT20" s="8">
        <v>0</v>
      </c>
      <c r="BU20" s="8">
        <v>0</v>
      </c>
      <c r="BV20" s="8">
        <v>221.6</v>
      </c>
      <c r="BW20" s="32">
        <v>0</v>
      </c>
      <c r="BX20" s="8">
        <f t="shared" si="14"/>
        <v>0</v>
      </c>
    </row>
    <row r="21" spans="1:76" s="2" customFormat="1" ht="15.6" x14ac:dyDescent="0.3">
      <c r="A21" s="11" t="s">
        <v>42</v>
      </c>
      <c r="B21" s="8">
        <f t="shared" si="1"/>
        <v>500913.99999999994</v>
      </c>
      <c r="C21" s="8">
        <f t="shared" si="2"/>
        <v>187942.80000000002</v>
      </c>
      <c r="D21" s="8">
        <f t="shared" si="3"/>
        <v>37.519973488463101</v>
      </c>
      <c r="E21" s="18">
        <v>20122.599999999999</v>
      </c>
      <c r="F21" s="32">
        <v>15054.2</v>
      </c>
      <c r="G21" s="8">
        <f t="shared" si="15"/>
        <v>74.812399988073125</v>
      </c>
      <c r="H21" s="32">
        <v>418.6</v>
      </c>
      <c r="I21" s="33">
        <v>50</v>
      </c>
      <c r="J21" s="8">
        <f t="shared" si="4"/>
        <v>11.944577161968466</v>
      </c>
      <c r="K21" s="18">
        <v>4596.3</v>
      </c>
      <c r="L21" s="8">
        <f>790</f>
        <v>790</v>
      </c>
      <c r="M21" s="8">
        <f t="shared" si="5"/>
        <v>17.187737963144269</v>
      </c>
      <c r="N21" s="32">
        <v>27624</v>
      </c>
      <c r="O21" s="32">
        <v>0</v>
      </c>
      <c r="P21" s="8">
        <v>0</v>
      </c>
      <c r="Q21" s="8">
        <f>31353.2+56000</f>
        <v>87353.2</v>
      </c>
      <c r="R21" s="32">
        <v>27690.9</v>
      </c>
      <c r="S21" s="8">
        <f t="shared" si="16"/>
        <v>31.699926276312716</v>
      </c>
      <c r="T21" s="8">
        <v>0</v>
      </c>
      <c r="U21" s="8">
        <v>0</v>
      </c>
      <c r="V21" s="8">
        <v>0</v>
      </c>
      <c r="W21" s="40">
        <v>0</v>
      </c>
      <c r="X21" s="32">
        <v>0</v>
      </c>
      <c r="Y21" s="8">
        <v>0</v>
      </c>
      <c r="Z21" s="8">
        <v>12000</v>
      </c>
      <c r="AA21" s="8">
        <v>0</v>
      </c>
      <c r="AB21" s="8">
        <f t="shared" si="27"/>
        <v>0</v>
      </c>
      <c r="AC21" s="18">
        <v>1582.5</v>
      </c>
      <c r="AD21" s="8">
        <v>176.3</v>
      </c>
      <c r="AE21" s="8">
        <f t="shared" si="17"/>
        <v>11.140600315955766</v>
      </c>
      <c r="AF21" s="18">
        <v>0</v>
      </c>
      <c r="AG21" s="8">
        <v>0</v>
      </c>
      <c r="AH21" s="8">
        <v>0</v>
      </c>
      <c r="AI21" s="40">
        <v>38110</v>
      </c>
      <c r="AJ21" s="32">
        <v>17946.8</v>
      </c>
      <c r="AK21" s="8">
        <f t="shared" si="8"/>
        <v>47.092101810548407</v>
      </c>
      <c r="AL21" s="40">
        <v>12738.1</v>
      </c>
      <c r="AM21" s="32">
        <v>9122.9</v>
      </c>
      <c r="AN21" s="8">
        <f t="shared" si="19"/>
        <v>71.619001263924758</v>
      </c>
      <c r="AO21" s="8" t="s">
        <v>1</v>
      </c>
      <c r="AP21" s="8">
        <v>0</v>
      </c>
      <c r="AQ21" s="8">
        <f t="shared" si="9"/>
        <v>0</v>
      </c>
      <c r="AR21" s="8">
        <v>56354.1</v>
      </c>
      <c r="AS21" s="9">
        <f>1792.4+29511.1+13137.8+692.9</f>
        <v>45134.200000000004</v>
      </c>
      <c r="AT21" s="8">
        <f t="shared" si="21"/>
        <v>80.090357223343119</v>
      </c>
      <c r="AU21" s="40">
        <v>7778.6</v>
      </c>
      <c r="AV21" s="32">
        <v>4900</v>
      </c>
      <c r="AW21" s="8">
        <f t="shared" si="10"/>
        <v>62.993340703982717</v>
      </c>
      <c r="AX21" s="8">
        <v>190727.6</v>
      </c>
      <c r="AY21" s="8">
        <v>55924.9</v>
      </c>
      <c r="AZ21" s="8">
        <f t="shared" si="11"/>
        <v>29.321870563043838</v>
      </c>
      <c r="BA21" s="8">
        <v>0</v>
      </c>
      <c r="BB21" s="8">
        <v>0</v>
      </c>
      <c r="BC21" s="8">
        <v>0</v>
      </c>
      <c r="BD21" s="18">
        <f>5316.3+1091</f>
        <v>6407.3</v>
      </c>
      <c r="BE21" s="8">
        <v>2208.9</v>
      </c>
      <c r="BF21" s="8">
        <f t="shared" si="12"/>
        <v>34.474739749972692</v>
      </c>
      <c r="BG21" s="18">
        <v>0</v>
      </c>
      <c r="BH21" s="18">
        <v>0</v>
      </c>
      <c r="BI21" s="8">
        <v>0</v>
      </c>
      <c r="BJ21" s="40">
        <v>10000</v>
      </c>
      <c r="BK21" s="33">
        <v>8943.7000000000007</v>
      </c>
      <c r="BL21" s="8">
        <f t="shared" si="13"/>
        <v>89.437000000000012</v>
      </c>
      <c r="BM21" s="9">
        <v>24086.6</v>
      </c>
      <c r="BN21" s="9">
        <v>0</v>
      </c>
      <c r="BO21" s="8">
        <f t="shared" si="22"/>
        <v>0</v>
      </c>
      <c r="BP21" s="9">
        <v>0</v>
      </c>
      <c r="BQ21" s="9">
        <v>0</v>
      </c>
      <c r="BR21" s="8">
        <v>0</v>
      </c>
      <c r="BS21" s="8">
        <v>0</v>
      </c>
      <c r="BT21" s="8">
        <v>0</v>
      </c>
      <c r="BU21" s="8">
        <v>0</v>
      </c>
      <c r="BV21" s="8">
        <v>1014.5</v>
      </c>
      <c r="BW21" s="32">
        <v>0</v>
      </c>
      <c r="BX21" s="8">
        <f t="shared" si="14"/>
        <v>0</v>
      </c>
    </row>
    <row r="22" spans="1:76" s="2" customFormat="1" ht="18" customHeight="1" x14ac:dyDescent="0.3">
      <c r="A22" s="11" t="s">
        <v>9</v>
      </c>
      <c r="B22" s="8">
        <f t="shared" si="1"/>
        <v>1760180.6</v>
      </c>
      <c r="C22" s="8">
        <f t="shared" si="2"/>
        <v>605149.19999999995</v>
      </c>
      <c r="D22" s="8">
        <f t="shared" si="3"/>
        <v>34.37994942109917</v>
      </c>
      <c r="E22" s="18">
        <f>26425.6-96.1</f>
        <v>26329.5</v>
      </c>
      <c r="F22" s="32">
        <v>313.7</v>
      </c>
      <c r="G22" s="8">
        <f t="shared" si="15"/>
        <v>1.1914392601454642</v>
      </c>
      <c r="H22" s="32">
        <v>723.7</v>
      </c>
      <c r="I22" s="33">
        <v>594</v>
      </c>
      <c r="J22" s="8">
        <f t="shared" si="4"/>
        <v>82.078209202708294</v>
      </c>
      <c r="K22" s="18">
        <f>15976.6+6572.6</f>
        <v>22549.200000000001</v>
      </c>
      <c r="L22" s="8">
        <v>0</v>
      </c>
      <c r="M22" s="8">
        <f t="shared" si="5"/>
        <v>0</v>
      </c>
      <c r="N22" s="32">
        <v>0</v>
      </c>
      <c r="O22" s="32">
        <v>0</v>
      </c>
      <c r="P22" s="8">
        <v>0</v>
      </c>
      <c r="Q22" s="32">
        <v>54162.2</v>
      </c>
      <c r="R22" s="32">
        <v>14823.8</v>
      </c>
      <c r="S22" s="8">
        <f t="shared" si="16"/>
        <v>27.369272296915558</v>
      </c>
      <c r="T22" s="8">
        <v>0</v>
      </c>
      <c r="U22" s="8">
        <v>0</v>
      </c>
      <c r="V22" s="8">
        <v>0</v>
      </c>
      <c r="W22" s="40">
        <v>585.9</v>
      </c>
      <c r="X22" s="32">
        <v>585.9</v>
      </c>
      <c r="Y22" s="8">
        <f t="shared" si="7"/>
        <v>100</v>
      </c>
      <c r="Z22" s="8">
        <v>0</v>
      </c>
      <c r="AA22" s="8">
        <v>0</v>
      </c>
      <c r="AB22" s="8">
        <v>0</v>
      </c>
      <c r="AC22" s="18">
        <f>87441.2+6000</f>
        <v>93441.2</v>
      </c>
      <c r="AD22" s="8">
        <f>484.6+19478.8</f>
        <v>19963.399999999998</v>
      </c>
      <c r="AE22" s="8">
        <f t="shared" si="17"/>
        <v>21.364665693505646</v>
      </c>
      <c r="AF22" s="18">
        <v>98420.3</v>
      </c>
      <c r="AG22" s="8">
        <v>3989.1</v>
      </c>
      <c r="AH22" s="8">
        <f t="shared" si="18"/>
        <v>4.0531272511870009</v>
      </c>
      <c r="AI22" s="40">
        <v>51794.3</v>
      </c>
      <c r="AJ22" s="32">
        <v>37753</v>
      </c>
      <c r="AK22" s="8">
        <f t="shared" si="8"/>
        <v>72.890260125148899</v>
      </c>
      <c r="AL22" s="40">
        <v>2938</v>
      </c>
      <c r="AM22" s="32">
        <v>0</v>
      </c>
      <c r="AN22" s="8">
        <f t="shared" si="19"/>
        <v>0</v>
      </c>
      <c r="AO22" s="8" t="s">
        <v>1</v>
      </c>
      <c r="AP22" s="8">
        <v>0</v>
      </c>
      <c r="AQ22" s="8">
        <f t="shared" si="9"/>
        <v>0</v>
      </c>
      <c r="AR22" s="8">
        <v>75170</v>
      </c>
      <c r="AS22" s="9">
        <f>2045.4+10180+20991.2</f>
        <v>33216.6</v>
      </c>
      <c r="AT22" s="8">
        <f t="shared" si="21"/>
        <v>44.188639084741247</v>
      </c>
      <c r="AU22" s="40">
        <v>12122</v>
      </c>
      <c r="AV22" s="32">
        <v>8996.7000000000007</v>
      </c>
      <c r="AW22" s="8">
        <f t="shared" si="10"/>
        <v>74.217950833195843</v>
      </c>
      <c r="AX22" s="8">
        <f>661556+576499</f>
        <v>1238055</v>
      </c>
      <c r="AY22" s="8">
        <v>454479.6</v>
      </c>
      <c r="AZ22" s="8">
        <f t="shared" si="11"/>
        <v>36.709160740031741</v>
      </c>
      <c r="BA22" s="8">
        <v>0</v>
      </c>
      <c r="BB22" s="8">
        <v>0</v>
      </c>
      <c r="BC22" s="8">
        <v>0</v>
      </c>
      <c r="BD22" s="18">
        <f>8761.5+7577.1</f>
        <v>16338.6</v>
      </c>
      <c r="BE22" s="8">
        <f>7217.1</f>
        <v>7217.1</v>
      </c>
      <c r="BF22" s="8">
        <f t="shared" si="12"/>
        <v>44.172083287429771</v>
      </c>
      <c r="BG22" s="18">
        <v>4715.3</v>
      </c>
      <c r="BH22" s="18">
        <v>0</v>
      </c>
      <c r="BI22" s="8">
        <f t="shared" ref="BI22:BI23" si="29">BH22/BG22*100</f>
        <v>0</v>
      </c>
      <c r="BJ22" s="40">
        <v>20000</v>
      </c>
      <c r="BK22" s="33">
        <v>13819.5</v>
      </c>
      <c r="BL22" s="8">
        <f t="shared" si="13"/>
        <v>69.097499999999997</v>
      </c>
      <c r="BM22" s="9">
        <v>39415.199999999997</v>
      </c>
      <c r="BN22" s="9">
        <v>9396.7999999999993</v>
      </c>
      <c r="BO22" s="8">
        <f t="shared" si="22"/>
        <v>23.840548823804014</v>
      </c>
      <c r="BP22" s="9">
        <v>1922.9</v>
      </c>
      <c r="BQ22" s="9">
        <v>0</v>
      </c>
      <c r="BR22" s="8">
        <f t="shared" si="23"/>
        <v>0</v>
      </c>
      <c r="BS22" s="8">
        <v>0</v>
      </c>
      <c r="BT22" s="8">
        <v>0</v>
      </c>
      <c r="BU22" s="8">
        <v>0</v>
      </c>
      <c r="BV22" s="8">
        <v>1497.3</v>
      </c>
      <c r="BW22" s="32">
        <v>0</v>
      </c>
      <c r="BX22" s="8">
        <f t="shared" si="14"/>
        <v>0</v>
      </c>
    </row>
    <row r="23" spans="1:76" s="2" customFormat="1" ht="15.6" customHeight="1" x14ac:dyDescent="0.3">
      <c r="A23" s="11" t="s">
        <v>10</v>
      </c>
      <c r="B23" s="8">
        <f t="shared" si="1"/>
        <v>584286.9</v>
      </c>
      <c r="C23" s="8">
        <f t="shared" si="2"/>
        <v>261499.90000000002</v>
      </c>
      <c r="D23" s="8">
        <f t="shared" si="3"/>
        <v>44.755393283676227</v>
      </c>
      <c r="E23" s="18">
        <v>267.2</v>
      </c>
      <c r="F23" s="32">
        <v>95.6</v>
      </c>
      <c r="G23" s="8">
        <f t="shared" si="15"/>
        <v>35.778443113772454</v>
      </c>
      <c r="H23" s="32">
        <v>147.9</v>
      </c>
      <c r="I23" s="33">
        <v>0</v>
      </c>
      <c r="J23" s="8">
        <f t="shared" si="4"/>
        <v>0</v>
      </c>
      <c r="K23" s="18">
        <f>24355.2+17525</f>
        <v>41880.199999999997</v>
      </c>
      <c r="L23" s="8">
        <v>2309.4</v>
      </c>
      <c r="M23" s="8">
        <f t="shared" si="5"/>
        <v>5.5143003137520834</v>
      </c>
      <c r="N23" s="32">
        <v>0</v>
      </c>
      <c r="O23" s="32">
        <v>0</v>
      </c>
      <c r="P23" s="8">
        <v>0</v>
      </c>
      <c r="Q23" s="32">
        <v>53429.3</v>
      </c>
      <c r="R23" s="32">
        <v>21772</v>
      </c>
      <c r="S23" s="8">
        <f t="shared" si="16"/>
        <v>40.749176949726085</v>
      </c>
      <c r="T23" s="8" t="s">
        <v>1</v>
      </c>
      <c r="U23" s="8">
        <v>0</v>
      </c>
      <c r="V23" s="8">
        <v>0</v>
      </c>
      <c r="W23" s="40">
        <v>1188</v>
      </c>
      <c r="X23" s="32">
        <v>287.10000000000002</v>
      </c>
      <c r="Y23" s="8">
        <f t="shared" si="7"/>
        <v>24.166666666666671</v>
      </c>
      <c r="Z23" s="8">
        <v>0</v>
      </c>
      <c r="AA23" s="8">
        <v>0</v>
      </c>
      <c r="AB23" s="8">
        <v>0</v>
      </c>
      <c r="AC23" s="18">
        <v>618.9</v>
      </c>
      <c r="AD23" s="8">
        <v>618.9</v>
      </c>
      <c r="AE23" s="8">
        <f t="shared" si="17"/>
        <v>100</v>
      </c>
      <c r="AF23" s="18">
        <v>99</v>
      </c>
      <c r="AG23" s="8">
        <v>0</v>
      </c>
      <c r="AH23" s="8">
        <v>0</v>
      </c>
      <c r="AI23" s="40">
        <v>126993.60000000001</v>
      </c>
      <c r="AJ23" s="32">
        <v>123461.5</v>
      </c>
      <c r="AK23" s="8">
        <f t="shared" si="8"/>
        <v>97.218678736566247</v>
      </c>
      <c r="AL23" s="40">
        <v>6383</v>
      </c>
      <c r="AM23" s="32">
        <v>4445.2</v>
      </c>
      <c r="AN23" s="8">
        <f t="shared" si="19"/>
        <v>69.641234529218238</v>
      </c>
      <c r="AO23" s="8" t="s">
        <v>1</v>
      </c>
      <c r="AP23" s="8">
        <v>0</v>
      </c>
      <c r="AQ23" s="8">
        <f t="shared" si="9"/>
        <v>0</v>
      </c>
      <c r="AR23" s="8">
        <v>43674.6</v>
      </c>
      <c r="AS23" s="9">
        <f>11313.2+2674+14731.4</f>
        <v>28718.6</v>
      </c>
      <c r="AT23" s="8">
        <f t="shared" si="21"/>
        <v>65.755839778727221</v>
      </c>
      <c r="AU23" s="40">
        <v>18072</v>
      </c>
      <c r="AV23" s="32">
        <v>8744.5</v>
      </c>
      <c r="AW23" s="8">
        <f t="shared" si="10"/>
        <v>48.38700752545374</v>
      </c>
      <c r="AX23" s="8">
        <f>184406.6+91860.6</f>
        <v>276267.2</v>
      </c>
      <c r="AY23" s="8">
        <v>65050.7</v>
      </c>
      <c r="AZ23" s="8">
        <f t="shared" si="11"/>
        <v>23.5462986557941</v>
      </c>
      <c r="BA23" s="8">
        <v>0</v>
      </c>
      <c r="BB23" s="8">
        <v>0</v>
      </c>
      <c r="BC23" s="8">
        <v>0</v>
      </c>
      <c r="BD23" s="18">
        <v>0</v>
      </c>
      <c r="BE23" s="8">
        <v>0</v>
      </c>
      <c r="BF23" s="8">
        <v>0</v>
      </c>
      <c r="BG23" s="18">
        <v>2772.6</v>
      </c>
      <c r="BH23" s="18">
        <v>309.7</v>
      </c>
      <c r="BI23" s="8">
        <f t="shared" si="29"/>
        <v>11.170020918993002</v>
      </c>
      <c r="BJ23" s="40">
        <v>10000</v>
      </c>
      <c r="BK23" s="33">
        <v>5686.7</v>
      </c>
      <c r="BL23" s="8">
        <f t="shared" si="13"/>
        <v>56.867000000000004</v>
      </c>
      <c r="BM23" s="9">
        <v>0</v>
      </c>
      <c r="BN23" s="9">
        <v>0</v>
      </c>
      <c r="BO23" s="8">
        <v>0</v>
      </c>
      <c r="BP23" s="9">
        <v>0</v>
      </c>
      <c r="BQ23" s="9">
        <v>0</v>
      </c>
      <c r="BR23" s="8">
        <v>0</v>
      </c>
      <c r="BS23" s="8">
        <v>0</v>
      </c>
      <c r="BT23" s="8">
        <v>0</v>
      </c>
      <c r="BU23" s="8">
        <v>0</v>
      </c>
      <c r="BV23" s="8">
        <f>682.8+1810.6</f>
        <v>2493.3999999999996</v>
      </c>
      <c r="BW23" s="32">
        <v>0</v>
      </c>
      <c r="BX23" s="8">
        <f t="shared" si="14"/>
        <v>0</v>
      </c>
    </row>
    <row r="24" spans="1:76" s="2" customFormat="1" ht="34.200000000000003" hidden="1" customHeight="1" x14ac:dyDescent="0.3">
      <c r="A24" s="11" t="s">
        <v>11</v>
      </c>
      <c r="B24" s="8">
        <f t="shared" si="1"/>
        <v>0</v>
      </c>
      <c r="C24" s="8">
        <f t="shared" si="2"/>
        <v>0</v>
      </c>
      <c r="D24" s="8" t="e">
        <f t="shared" si="3"/>
        <v>#DIV/0!</v>
      </c>
      <c r="E24" s="8">
        <v>0</v>
      </c>
      <c r="F24" s="32">
        <v>0</v>
      </c>
      <c r="G24" s="8" t="e">
        <f t="shared" si="15"/>
        <v>#DIV/0!</v>
      </c>
      <c r="H24" s="33"/>
      <c r="I24" s="33">
        <v>0</v>
      </c>
      <c r="J24" s="8" t="e">
        <f t="shared" si="4"/>
        <v>#DIV/0!</v>
      </c>
      <c r="K24" s="8">
        <v>0</v>
      </c>
      <c r="L24" s="8">
        <v>0</v>
      </c>
      <c r="M24" s="8" t="e">
        <f t="shared" si="5"/>
        <v>#DIV/0!</v>
      </c>
      <c r="N24" s="32">
        <v>0</v>
      </c>
      <c r="O24" s="32">
        <v>0</v>
      </c>
      <c r="P24" s="8">
        <v>0</v>
      </c>
      <c r="Q24" s="32">
        <v>0</v>
      </c>
      <c r="R24" s="32">
        <v>0</v>
      </c>
      <c r="S24" s="8" t="e">
        <f t="shared" si="16"/>
        <v>#DIV/0!</v>
      </c>
      <c r="T24" s="8" t="s">
        <v>1</v>
      </c>
      <c r="U24" s="8" t="s">
        <v>1</v>
      </c>
      <c r="V24" s="8" t="e">
        <f t="shared" ref="V24:V28" si="30">U24/T24*100</f>
        <v>#DIV/0!</v>
      </c>
      <c r="W24" s="32" t="s">
        <v>1</v>
      </c>
      <c r="X24" s="32">
        <v>0</v>
      </c>
      <c r="Y24" s="8" t="e">
        <f t="shared" si="7"/>
        <v>#DIV/0!</v>
      </c>
      <c r="Z24" s="8">
        <v>0</v>
      </c>
      <c r="AA24" s="8">
        <v>0</v>
      </c>
      <c r="AB24" s="8" t="e">
        <f t="shared" si="27"/>
        <v>#DIV/0!</v>
      </c>
      <c r="AC24" s="8">
        <v>0</v>
      </c>
      <c r="AD24" s="8">
        <v>0</v>
      </c>
      <c r="AE24" s="8" t="e">
        <f t="shared" si="17"/>
        <v>#DIV/0!</v>
      </c>
      <c r="AF24" s="8">
        <v>0</v>
      </c>
      <c r="AG24" s="8">
        <v>0</v>
      </c>
      <c r="AH24" s="8" t="e">
        <f t="shared" si="18"/>
        <v>#DIV/0!</v>
      </c>
      <c r="AI24" s="32">
        <v>0</v>
      </c>
      <c r="AJ24" s="32">
        <v>0</v>
      </c>
      <c r="AK24" s="8" t="e">
        <f t="shared" si="8"/>
        <v>#DIV/0!</v>
      </c>
      <c r="AL24" s="32" t="s">
        <v>1</v>
      </c>
      <c r="AM24" s="32">
        <v>0</v>
      </c>
      <c r="AN24" s="8" t="e">
        <f t="shared" si="19"/>
        <v>#DIV/0!</v>
      </c>
      <c r="AO24" s="8" t="s">
        <v>1</v>
      </c>
      <c r="AP24" s="8">
        <v>0</v>
      </c>
      <c r="AQ24" s="8">
        <f t="shared" si="9"/>
        <v>0</v>
      </c>
      <c r="AR24" s="9"/>
      <c r="AS24" s="9"/>
      <c r="AT24" s="9"/>
      <c r="AU24" s="32">
        <v>0</v>
      </c>
      <c r="AV24" s="32">
        <v>0</v>
      </c>
      <c r="AW24" s="8" t="e">
        <f t="shared" si="10"/>
        <v>#DIV/0!</v>
      </c>
      <c r="AX24" s="8"/>
      <c r="AY24" s="8"/>
      <c r="AZ24" s="8" t="e">
        <f t="shared" si="11"/>
        <v>#DIV/0!</v>
      </c>
      <c r="BA24" s="8">
        <v>0</v>
      </c>
      <c r="BB24" s="8">
        <v>0</v>
      </c>
      <c r="BC24" s="8" t="e">
        <f t="shared" si="28"/>
        <v>#DIV/0!</v>
      </c>
      <c r="BD24" s="8">
        <v>0</v>
      </c>
      <c r="BE24" s="8">
        <v>0</v>
      </c>
      <c r="BF24" s="8" t="e">
        <f t="shared" si="12"/>
        <v>#DIV/0!</v>
      </c>
      <c r="BG24" s="18">
        <v>0</v>
      </c>
      <c r="BH24" s="21"/>
      <c r="BI24" s="8">
        <f t="shared" ref="BI24:BI26" si="31">BH24-BG24</f>
        <v>0</v>
      </c>
      <c r="BJ24" s="33">
        <v>0</v>
      </c>
      <c r="BK24" s="33">
        <v>0</v>
      </c>
      <c r="BL24" s="8" t="e">
        <f t="shared" si="13"/>
        <v>#DIV/0!</v>
      </c>
      <c r="BM24" s="9">
        <v>0</v>
      </c>
      <c r="BN24" s="9">
        <v>0</v>
      </c>
      <c r="BO24" s="8" t="e">
        <f t="shared" si="22"/>
        <v>#DIV/0!</v>
      </c>
      <c r="BP24" s="9"/>
      <c r="BQ24" s="9"/>
      <c r="BR24" s="9"/>
      <c r="BS24" s="9"/>
      <c r="BT24" s="9"/>
      <c r="BU24" s="8" t="e">
        <f t="shared" si="20"/>
        <v>#DIV/0!</v>
      </c>
      <c r="BV24" s="8"/>
      <c r="BW24" s="32"/>
      <c r="BX24" s="8" t="e">
        <f t="shared" si="14"/>
        <v>#DIV/0!</v>
      </c>
    </row>
    <row r="25" spans="1:76" s="2" customFormat="1" ht="34.200000000000003" hidden="1" customHeight="1" x14ac:dyDescent="0.3">
      <c r="A25" s="11" t="s">
        <v>12</v>
      </c>
      <c r="B25" s="8">
        <f t="shared" si="1"/>
        <v>0</v>
      </c>
      <c r="C25" s="8">
        <f t="shared" si="2"/>
        <v>0</v>
      </c>
      <c r="D25" s="8" t="e">
        <f t="shared" si="3"/>
        <v>#DIV/0!</v>
      </c>
      <c r="E25" s="8">
        <v>0</v>
      </c>
      <c r="F25" s="32">
        <v>0</v>
      </c>
      <c r="G25" s="8" t="e">
        <f t="shared" si="15"/>
        <v>#DIV/0!</v>
      </c>
      <c r="H25" s="33"/>
      <c r="I25" s="33">
        <v>0</v>
      </c>
      <c r="J25" s="8" t="e">
        <f t="shared" si="4"/>
        <v>#DIV/0!</v>
      </c>
      <c r="K25" s="8">
        <v>0</v>
      </c>
      <c r="L25" s="8">
        <v>0</v>
      </c>
      <c r="M25" s="8" t="e">
        <f t="shared" si="5"/>
        <v>#DIV/0!</v>
      </c>
      <c r="N25" s="32">
        <v>0</v>
      </c>
      <c r="O25" s="32">
        <v>0</v>
      </c>
      <c r="P25" s="8">
        <v>0</v>
      </c>
      <c r="Q25" s="32">
        <v>0</v>
      </c>
      <c r="R25" s="32">
        <v>0</v>
      </c>
      <c r="S25" s="8" t="e">
        <f t="shared" si="16"/>
        <v>#DIV/0!</v>
      </c>
      <c r="T25" s="8" t="s">
        <v>1</v>
      </c>
      <c r="U25" s="8" t="s">
        <v>1</v>
      </c>
      <c r="V25" s="8" t="e">
        <f t="shared" si="30"/>
        <v>#DIV/0!</v>
      </c>
      <c r="W25" s="32" t="s">
        <v>1</v>
      </c>
      <c r="X25" s="32">
        <v>0</v>
      </c>
      <c r="Y25" s="8" t="e">
        <f t="shared" si="7"/>
        <v>#DIV/0!</v>
      </c>
      <c r="Z25" s="8">
        <v>0</v>
      </c>
      <c r="AA25" s="8">
        <v>0</v>
      </c>
      <c r="AB25" s="8" t="e">
        <f t="shared" si="27"/>
        <v>#DIV/0!</v>
      </c>
      <c r="AC25" s="8">
        <v>0</v>
      </c>
      <c r="AD25" s="8">
        <v>0</v>
      </c>
      <c r="AE25" s="8" t="e">
        <f t="shared" si="17"/>
        <v>#DIV/0!</v>
      </c>
      <c r="AF25" s="8">
        <v>0</v>
      </c>
      <c r="AG25" s="8">
        <v>0</v>
      </c>
      <c r="AH25" s="8" t="e">
        <f t="shared" si="18"/>
        <v>#DIV/0!</v>
      </c>
      <c r="AI25" s="32">
        <v>0</v>
      </c>
      <c r="AJ25" s="32">
        <v>0</v>
      </c>
      <c r="AK25" s="8" t="e">
        <f t="shared" si="8"/>
        <v>#DIV/0!</v>
      </c>
      <c r="AL25" s="32" t="s">
        <v>1</v>
      </c>
      <c r="AM25" s="32">
        <v>0</v>
      </c>
      <c r="AN25" s="8" t="e">
        <f t="shared" si="19"/>
        <v>#DIV/0!</v>
      </c>
      <c r="AO25" s="8" t="s">
        <v>1</v>
      </c>
      <c r="AP25" s="8">
        <v>0</v>
      </c>
      <c r="AQ25" s="8">
        <f t="shared" si="9"/>
        <v>0</v>
      </c>
      <c r="AR25" s="9"/>
      <c r="AS25" s="9"/>
      <c r="AT25" s="9"/>
      <c r="AU25" s="32">
        <v>0</v>
      </c>
      <c r="AV25" s="32">
        <v>0</v>
      </c>
      <c r="AW25" s="8" t="e">
        <f t="shared" si="10"/>
        <v>#DIV/0!</v>
      </c>
      <c r="AX25" s="8"/>
      <c r="AY25" s="8"/>
      <c r="AZ25" s="8" t="e">
        <f t="shared" si="11"/>
        <v>#DIV/0!</v>
      </c>
      <c r="BA25" s="8">
        <v>0</v>
      </c>
      <c r="BB25" s="8">
        <v>0</v>
      </c>
      <c r="BC25" s="8" t="e">
        <f t="shared" si="28"/>
        <v>#DIV/0!</v>
      </c>
      <c r="BD25" s="8">
        <v>0</v>
      </c>
      <c r="BE25" s="8">
        <v>0</v>
      </c>
      <c r="BF25" s="8" t="e">
        <f t="shared" si="12"/>
        <v>#DIV/0!</v>
      </c>
      <c r="BG25" s="18">
        <v>0</v>
      </c>
      <c r="BH25" s="21"/>
      <c r="BI25" s="8">
        <f t="shared" si="31"/>
        <v>0</v>
      </c>
      <c r="BJ25" s="33">
        <v>0</v>
      </c>
      <c r="BK25" s="33">
        <v>0</v>
      </c>
      <c r="BL25" s="8" t="e">
        <f t="shared" si="13"/>
        <v>#DIV/0!</v>
      </c>
      <c r="BM25" s="9">
        <v>0</v>
      </c>
      <c r="BN25" s="9">
        <v>0</v>
      </c>
      <c r="BO25" s="8" t="e">
        <f t="shared" si="22"/>
        <v>#DIV/0!</v>
      </c>
      <c r="BP25" s="9"/>
      <c r="BQ25" s="9"/>
      <c r="BR25" s="9"/>
      <c r="BS25" s="9"/>
      <c r="BT25" s="9"/>
      <c r="BU25" s="8" t="e">
        <f t="shared" si="20"/>
        <v>#DIV/0!</v>
      </c>
      <c r="BV25" s="8"/>
      <c r="BW25" s="32"/>
      <c r="BX25" s="8" t="e">
        <f t="shared" si="14"/>
        <v>#DIV/0!</v>
      </c>
    </row>
    <row r="26" spans="1:76" s="2" customFormat="1" ht="34.200000000000003" hidden="1" customHeight="1" x14ac:dyDescent="0.3">
      <c r="A26" s="11" t="s">
        <v>13</v>
      </c>
      <c r="B26" s="8">
        <f t="shared" si="1"/>
        <v>0</v>
      </c>
      <c r="C26" s="8">
        <f t="shared" si="2"/>
        <v>0</v>
      </c>
      <c r="D26" s="8" t="e">
        <f t="shared" si="3"/>
        <v>#DIV/0!</v>
      </c>
      <c r="E26" s="8">
        <v>0</v>
      </c>
      <c r="F26" s="32">
        <v>0</v>
      </c>
      <c r="G26" s="8" t="e">
        <f t="shared" si="15"/>
        <v>#DIV/0!</v>
      </c>
      <c r="H26" s="33"/>
      <c r="I26" s="33">
        <v>0</v>
      </c>
      <c r="J26" s="8" t="e">
        <f t="shared" si="4"/>
        <v>#DIV/0!</v>
      </c>
      <c r="K26" s="8">
        <v>0</v>
      </c>
      <c r="L26" s="8">
        <v>0</v>
      </c>
      <c r="M26" s="8" t="e">
        <f t="shared" si="5"/>
        <v>#DIV/0!</v>
      </c>
      <c r="N26" s="32">
        <v>0</v>
      </c>
      <c r="O26" s="32">
        <v>0</v>
      </c>
      <c r="P26" s="8">
        <v>0</v>
      </c>
      <c r="Q26" s="32">
        <v>0</v>
      </c>
      <c r="R26" s="32">
        <v>0</v>
      </c>
      <c r="S26" s="8" t="e">
        <f t="shared" si="16"/>
        <v>#DIV/0!</v>
      </c>
      <c r="T26" s="8" t="s">
        <v>1</v>
      </c>
      <c r="U26" s="8" t="s">
        <v>1</v>
      </c>
      <c r="V26" s="8" t="e">
        <f t="shared" si="30"/>
        <v>#DIV/0!</v>
      </c>
      <c r="W26" s="32" t="s">
        <v>1</v>
      </c>
      <c r="X26" s="32">
        <v>0</v>
      </c>
      <c r="Y26" s="8" t="e">
        <f t="shared" si="7"/>
        <v>#DIV/0!</v>
      </c>
      <c r="Z26" s="8">
        <v>0</v>
      </c>
      <c r="AA26" s="8">
        <v>0</v>
      </c>
      <c r="AB26" s="8" t="e">
        <f t="shared" si="27"/>
        <v>#DIV/0!</v>
      </c>
      <c r="AC26" s="8">
        <v>0</v>
      </c>
      <c r="AD26" s="8">
        <v>0</v>
      </c>
      <c r="AE26" s="8" t="e">
        <f t="shared" si="17"/>
        <v>#DIV/0!</v>
      </c>
      <c r="AF26" s="8">
        <v>0</v>
      </c>
      <c r="AG26" s="8">
        <v>0</v>
      </c>
      <c r="AH26" s="8" t="e">
        <f t="shared" si="18"/>
        <v>#DIV/0!</v>
      </c>
      <c r="AI26" s="32">
        <v>0</v>
      </c>
      <c r="AJ26" s="32">
        <v>0</v>
      </c>
      <c r="AK26" s="8" t="e">
        <f t="shared" si="8"/>
        <v>#DIV/0!</v>
      </c>
      <c r="AL26" s="32" t="s">
        <v>1</v>
      </c>
      <c r="AM26" s="32">
        <v>0</v>
      </c>
      <c r="AN26" s="8" t="e">
        <f t="shared" si="19"/>
        <v>#DIV/0!</v>
      </c>
      <c r="AO26" s="8" t="s">
        <v>1</v>
      </c>
      <c r="AP26" s="8">
        <v>0</v>
      </c>
      <c r="AQ26" s="8">
        <f t="shared" si="9"/>
        <v>0</v>
      </c>
      <c r="AR26" s="9"/>
      <c r="AS26" s="9"/>
      <c r="AT26" s="9"/>
      <c r="AU26" s="32">
        <v>0</v>
      </c>
      <c r="AV26" s="32">
        <v>0</v>
      </c>
      <c r="AW26" s="8" t="e">
        <f t="shared" si="10"/>
        <v>#DIV/0!</v>
      </c>
      <c r="AX26" s="8"/>
      <c r="AY26" s="8"/>
      <c r="AZ26" s="8" t="e">
        <f t="shared" si="11"/>
        <v>#DIV/0!</v>
      </c>
      <c r="BA26" s="8">
        <v>0</v>
      </c>
      <c r="BB26" s="8">
        <v>0</v>
      </c>
      <c r="BC26" s="8" t="e">
        <f t="shared" si="28"/>
        <v>#DIV/0!</v>
      </c>
      <c r="BD26" s="8">
        <v>0</v>
      </c>
      <c r="BE26" s="8">
        <v>0</v>
      </c>
      <c r="BF26" s="8" t="e">
        <f t="shared" si="12"/>
        <v>#DIV/0!</v>
      </c>
      <c r="BG26" s="18">
        <v>0</v>
      </c>
      <c r="BH26" s="21"/>
      <c r="BI26" s="8">
        <f t="shared" si="31"/>
        <v>0</v>
      </c>
      <c r="BJ26" s="33">
        <v>0</v>
      </c>
      <c r="BK26" s="33">
        <v>0</v>
      </c>
      <c r="BL26" s="8" t="e">
        <f t="shared" si="13"/>
        <v>#DIV/0!</v>
      </c>
      <c r="BM26" s="9">
        <v>0</v>
      </c>
      <c r="BN26" s="9">
        <v>0</v>
      </c>
      <c r="BO26" s="8" t="e">
        <f t="shared" si="22"/>
        <v>#DIV/0!</v>
      </c>
      <c r="BP26" s="9"/>
      <c r="BQ26" s="9"/>
      <c r="BR26" s="9"/>
      <c r="BS26" s="9"/>
      <c r="BT26" s="9"/>
      <c r="BU26" s="8" t="e">
        <f t="shared" si="20"/>
        <v>#DIV/0!</v>
      </c>
      <c r="BV26" s="8"/>
      <c r="BW26" s="32"/>
      <c r="BX26" s="8" t="e">
        <f t="shared" si="14"/>
        <v>#DIV/0!</v>
      </c>
    </row>
    <row r="27" spans="1:76" s="5" customFormat="1" ht="16.95" customHeight="1" x14ac:dyDescent="0.3">
      <c r="A27" s="11" t="s">
        <v>14</v>
      </c>
      <c r="B27" s="8">
        <f t="shared" si="1"/>
        <v>29206.799999999999</v>
      </c>
      <c r="C27" s="8">
        <f t="shared" si="2"/>
        <v>0</v>
      </c>
      <c r="D27" s="8">
        <f t="shared" si="3"/>
        <v>0</v>
      </c>
      <c r="E27" s="8">
        <v>0</v>
      </c>
      <c r="F27" s="32">
        <v>0</v>
      </c>
      <c r="G27" s="8">
        <v>0</v>
      </c>
      <c r="H27" s="32">
        <v>0</v>
      </c>
      <c r="I27" s="34">
        <v>0</v>
      </c>
      <c r="J27" s="8">
        <v>0</v>
      </c>
      <c r="K27" s="8">
        <v>0</v>
      </c>
      <c r="L27" s="8">
        <v>0</v>
      </c>
      <c r="M27" s="8">
        <v>0</v>
      </c>
      <c r="N27" s="32">
        <v>0</v>
      </c>
      <c r="O27" s="32">
        <v>0</v>
      </c>
      <c r="P27" s="8">
        <v>0</v>
      </c>
      <c r="Q27" s="32">
        <v>0</v>
      </c>
      <c r="R27" s="32">
        <v>0</v>
      </c>
      <c r="S27" s="8">
        <v>0</v>
      </c>
      <c r="T27" s="8">
        <v>0</v>
      </c>
      <c r="U27" s="8">
        <v>0</v>
      </c>
      <c r="V27" s="8">
        <v>0</v>
      </c>
      <c r="W27" s="32">
        <v>0</v>
      </c>
      <c r="X27" s="32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32">
        <v>0</v>
      </c>
      <c r="AJ27" s="32">
        <v>0</v>
      </c>
      <c r="AK27" s="8">
        <v>0</v>
      </c>
      <c r="AL27" s="32">
        <v>0</v>
      </c>
      <c r="AM27" s="32">
        <v>0</v>
      </c>
      <c r="AN27" s="8">
        <v>0</v>
      </c>
      <c r="AO27" s="8" t="s">
        <v>1</v>
      </c>
      <c r="AP27" s="8">
        <v>0</v>
      </c>
      <c r="AQ27" s="8">
        <f t="shared" si="9"/>
        <v>0</v>
      </c>
      <c r="AR27" s="9">
        <v>0</v>
      </c>
      <c r="AS27" s="9">
        <v>0</v>
      </c>
      <c r="AT27" s="8">
        <v>0</v>
      </c>
      <c r="AU27" s="32" t="s">
        <v>1</v>
      </c>
      <c r="AV27" s="32" t="s">
        <v>1</v>
      </c>
      <c r="AW27" s="8">
        <v>0</v>
      </c>
      <c r="AX27" s="8">
        <f>1657680-1352185-305495</f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18">
        <v>0</v>
      </c>
      <c r="BH27" s="18">
        <v>0</v>
      </c>
      <c r="BI27" s="8">
        <f t="shared" ref="BI27" si="32">BH27-BG27</f>
        <v>0</v>
      </c>
      <c r="BJ27" s="33">
        <v>0</v>
      </c>
      <c r="BK27" s="33">
        <v>0</v>
      </c>
      <c r="BL27" s="8">
        <v>0</v>
      </c>
      <c r="BM27" s="9">
        <v>1436.8</v>
      </c>
      <c r="BN27" s="9">
        <v>0</v>
      </c>
      <c r="BO27" s="8">
        <v>0</v>
      </c>
      <c r="BP27" s="9">
        <v>0</v>
      </c>
      <c r="BQ27" s="9">
        <v>0</v>
      </c>
      <c r="BR27" s="8">
        <v>0</v>
      </c>
      <c r="BS27" s="8">
        <f>1352185-202950-478954-642511</f>
        <v>27770</v>
      </c>
      <c r="BT27" s="8">
        <v>0</v>
      </c>
      <c r="BU27" s="8">
        <f t="shared" si="20"/>
        <v>0</v>
      </c>
      <c r="BV27" s="8">
        <v>0</v>
      </c>
      <c r="BW27" s="32">
        <v>0</v>
      </c>
      <c r="BX27" s="8">
        <v>0</v>
      </c>
    </row>
    <row r="28" spans="1:76" s="1" customFormat="1" ht="19.95" customHeight="1" x14ac:dyDescent="0.3">
      <c r="A28" s="16" t="s">
        <v>15</v>
      </c>
      <c r="B28" s="17">
        <f>B6+B7+B8+B9+B10+B11+B12+B13+B14+B15+B16+B17+B18+B19+B20+B21+B22+B23+B24+B25+B26+B27</f>
        <v>35938575.79999999</v>
      </c>
      <c r="C28" s="17">
        <f>C6+C7+C8+C9+C10+C11+C12+C13+C14+C15+C16+C17+C18+C19+C20+C21+C22+C23+C24+C25+C26+C27</f>
        <v>17325309.399999999</v>
      </c>
      <c r="D28" s="17">
        <f t="shared" si="3"/>
        <v>48.208113466755698</v>
      </c>
      <c r="E28" s="17">
        <f>E6+E7+E8+E9+E10+E11+E12+E13+E14+E15+E16+E17+E18+E19+E20+E21+E22+E23+E24+E25+E26+E27</f>
        <v>1728227.9000000001</v>
      </c>
      <c r="F28" s="17">
        <f t="shared" ref="F28" si="33">F6+F7+F8+F9+F10+F11+F12+F13+F14+F15+F16+F17+F18+F19+F20+F21+F22+F23+F24+F25+F26+F27</f>
        <v>772341.19999999984</v>
      </c>
      <c r="G28" s="17">
        <f t="shared" si="15"/>
        <v>44.689777314670124</v>
      </c>
      <c r="H28" s="17">
        <f>H6+H7+H8+H9+H10+H11+H12+H13+H14+H15+H16+H17+H18+H19+H20+H21+H22+H23+H24+H25+H26+H27</f>
        <v>20000</v>
      </c>
      <c r="I28" s="17">
        <f t="shared" ref="I28" si="34">I6+I7+I8+I9+I10+I11+I12+I13+I14+I15+I16+I17+I18+I19+I20+I21+I22+I23+I24+I25+I26+I27</f>
        <v>11785.4</v>
      </c>
      <c r="J28" s="17">
        <f t="shared" si="4"/>
        <v>58.926999999999992</v>
      </c>
      <c r="K28" s="17">
        <f>K6+K7+K8+K9+K10+K11+K12+K13+K14+K15+K16+K17+K18+K19+K20+K21+K22+K23+K24+K25+K26+K27</f>
        <v>3227270.1</v>
      </c>
      <c r="L28" s="17">
        <f t="shared" ref="L28" si="35">L6+L7+L8+L9+L10+L11+L12+L13+L14+L15+L16+L17+L18+L19+L20+L21+L22+L23+L24+L25+L26+L27</f>
        <v>2503456.5999999996</v>
      </c>
      <c r="M28" s="17">
        <f t="shared" si="5"/>
        <v>77.571957798016328</v>
      </c>
      <c r="N28" s="17">
        <f>N6+N7+N8+N9+N10+N11+N12+N13+N14+N15+N16+N17+N18+N19+N20+N21+N22+N23+N24+N25+N26+N27</f>
        <v>73421.7</v>
      </c>
      <c r="O28" s="17">
        <f t="shared" ref="O28" si="36">O6+O7+O8+O9+O10+O11+O12+O13+O14+O15+O16+O17+O18+O19+O20+O21+O22+O23+O24+O25+O26+O27</f>
        <v>2533.8000000000002</v>
      </c>
      <c r="P28" s="17">
        <f t="shared" ref="P28" si="37">O28/N28*100</f>
        <v>3.4510233350630677</v>
      </c>
      <c r="Q28" s="17">
        <f>Q6+Q7+Q8+Q9+Q10+Q11+Q12+Q13+Q14+Q15+Q16+Q17+Q18+Q19+Q20+Q21+Q22+Q23+Q24+Q25+Q26+Q27</f>
        <v>2001177.4000000001</v>
      </c>
      <c r="R28" s="17">
        <f t="shared" ref="R28:AD28" si="38">R6+R7+R8+R9+R10+R11+R12+R13+R14+R15+R16+R17+R18+R19+R20+R21+R22+R23+R24+R25+R26+R27</f>
        <v>984826.29999999993</v>
      </c>
      <c r="S28" s="17">
        <f t="shared" si="16"/>
        <v>49.212343693267769</v>
      </c>
      <c r="T28" s="17">
        <f t="shared" si="38"/>
        <v>137532.20000000001</v>
      </c>
      <c r="U28" s="17">
        <f t="shared" si="38"/>
        <v>60375.700000000004</v>
      </c>
      <c r="V28" s="17">
        <f t="shared" si="30"/>
        <v>43.899319577524395</v>
      </c>
      <c r="W28" s="17">
        <f t="shared" si="38"/>
        <v>315403.5</v>
      </c>
      <c r="X28" s="17">
        <f t="shared" si="38"/>
        <v>143334.29999999996</v>
      </c>
      <c r="Y28" s="17">
        <f t="shared" si="7"/>
        <v>45.444739833261188</v>
      </c>
      <c r="Z28" s="17">
        <f t="shared" si="38"/>
        <v>12623.7</v>
      </c>
      <c r="AA28" s="17">
        <f t="shared" si="38"/>
        <v>0</v>
      </c>
      <c r="AB28" s="17">
        <f t="shared" ref="AB28" si="39">AA28/Z28*100</f>
        <v>0</v>
      </c>
      <c r="AC28" s="17">
        <f t="shared" si="38"/>
        <v>541479.1</v>
      </c>
      <c r="AD28" s="17">
        <f t="shared" si="38"/>
        <v>160295.09999999998</v>
      </c>
      <c r="AE28" s="17">
        <f t="shared" si="17"/>
        <v>29.60319244085321</v>
      </c>
      <c r="AF28" s="17">
        <f t="shared" ref="AF28:AG28" si="40">AF6+AF7+AF8+AF9+AF10+AF11+AF12+AF13+AF14+AF15+AF16+AF17+AF18+AF19+AF20+AF21+AF22+AF23+AF24+AF25+AF26+AF27</f>
        <v>681105.20000000007</v>
      </c>
      <c r="AG28" s="17">
        <f t="shared" si="40"/>
        <v>221776.60000000003</v>
      </c>
      <c r="AH28" s="17">
        <f t="shared" si="18"/>
        <v>32.561284218649341</v>
      </c>
      <c r="AI28" s="17">
        <f t="shared" ref="AI28" si="41">AI6+AI7+AI8+AI9+AI10+AI11+AI12+AI13+AI14+AI15+AI16+AI17+AI18+AI19+AI20+AI21+AI22+AI23+AI24+AI25+AI26+AI27</f>
        <v>3492870.7</v>
      </c>
      <c r="AJ28" s="17">
        <f t="shared" ref="AJ28" si="42">AJ6+AJ7+AJ8+AJ9+AJ10+AJ11+AJ12+AJ13+AJ14+AJ15+AJ16+AJ17+AJ18+AJ19+AJ20+AJ21+AJ22+AJ23+AJ24+AJ25+AJ26+AJ27</f>
        <v>1900925</v>
      </c>
      <c r="AK28" s="17">
        <f t="shared" si="8"/>
        <v>54.422999397028924</v>
      </c>
      <c r="AL28" s="17">
        <f>AL6+AL7+AL8+AL9+AL10+AL11+AL12+AL13+AL14+AL15+AL16+AL17+AL18+AL19+AL20+AL21+AL22+AL23+AL24+AL25+AL26+AL27</f>
        <v>210811.5</v>
      </c>
      <c r="AM28" s="17">
        <f t="shared" ref="AM28" si="43">AM6+AM7+AM8+AM9+AM10+AM11+AM12+AM13+AM14+AM15+AM16+AM17+AM18+AM19+AM20+AM21+AM22+AM23+AM24+AM25+AM26+AM27</f>
        <v>115874.79999999999</v>
      </c>
      <c r="AN28" s="17">
        <f>AM28/AL28*100</f>
        <v>54.966071585278783</v>
      </c>
      <c r="AO28" s="17">
        <f t="shared" ref="AO28" si="44">AO6+AO7+AO8+AO9+AO10+AO11+AO12+AO13+AO14+AO15+AO16+AO17+AO18+AO19+AO20+AO21+AO22+AO23+AO24+AO25+AO26+AO27</f>
        <v>1092858</v>
      </c>
      <c r="AP28" s="17">
        <f t="shared" ref="AP28" si="45">AP6+AP7+AP8+AP9+AP10+AP11+AP12+AP13+AP14+AP15+AP16+AP17+AP18+AP19+AP20+AP21+AP22+AP23+AP24+AP25+AP26+AP27</f>
        <v>853654.3</v>
      </c>
      <c r="AQ28" s="17">
        <f t="shared" ref="AQ28" si="46">AQ6+AQ7+AQ8+AQ9+AQ10+AQ11+AQ12+AQ13+AQ14+AQ15+AQ16+AQ17+AQ18+AQ19+AQ20+AQ21+AQ22+AQ23+AQ24+AQ25+AQ26+AQ27</f>
        <v>78.112096905544917</v>
      </c>
      <c r="AR28" s="17">
        <f t="shared" ref="AR28" si="47">AR6+AR7+AR8+AR9+AR10+AR11+AR12+AR13+AR14+AR15+AR16+AR17+AR18+AR19+AR20+AR21+AR22+AR23+AR24+AR25+AR26+AR27</f>
        <v>1645357.2000000004</v>
      </c>
      <c r="AS28" s="17">
        <f>AS6+AS7+AS8+AS9+AS10+AS11+AS12+AS13+AS14+AS15+AS16+AS17+AS18+AS19+AS20+AS21+AS22+AS23+AS24+AS25+AS26+AS27</f>
        <v>942007</v>
      </c>
      <c r="AT28" s="8">
        <f>AS28/AR28*100</f>
        <v>57.252431265381141</v>
      </c>
      <c r="AU28" s="17">
        <f t="shared" ref="AU28" si="48">AU6+AU7+AU8+AU9+AU10+AU11+AU12+AU13+AU14+AU15+AU16+AU17+AU18+AU19+AU20+AU21+AU22+AU23+AU24+AU25+AU26+AU27</f>
        <v>187810.80000000002</v>
      </c>
      <c r="AV28" s="17">
        <f t="shared" ref="AV28" si="49">AV6+AV7+AV8+AV9+AV10+AV11+AV12+AV13+AV14+AV15+AV16+AV17+AV18+AV19+AV20+AV21+AV22+AV23+AV24+AV25+AV26+AV27</f>
        <v>122942.79999999999</v>
      </c>
      <c r="AW28" s="17">
        <f t="shared" si="10"/>
        <v>65.460985204258733</v>
      </c>
      <c r="AX28" s="17">
        <f t="shared" ref="AX28" si="50">AX6+AX7+AX8+AX9+AX10+AX11+AX12+AX13+AX14+AX15+AX16+AX17+AX18+AX19+AX20+AX21+AX22+AX23+AX24+AX25+AX26+AX27</f>
        <v>18415155.599999998</v>
      </c>
      <c r="AY28" s="17">
        <f t="shared" ref="AY28" si="51">AY6+AY7+AY8+AY9+AY10+AY11+AY12+AY13+AY14+AY15+AY16+AY17+AY18+AY19+AY20+AY21+AY22+AY23+AY24+AY25+AY26+AY27</f>
        <v>8144710.0000000009</v>
      </c>
      <c r="AZ28" s="17">
        <f t="shared" si="11"/>
        <v>44.22829856512319</v>
      </c>
      <c r="BA28" s="17">
        <f t="shared" ref="BA28" si="52">BA6+BA7+BA8+BA9+BA10+BA11+BA12+BA13+BA14+BA15+BA16+BA17+BA18+BA19+BA20+BA21+BA22+BA23+BA24+BA25+BA26+BA27</f>
        <v>3533.2</v>
      </c>
      <c r="BB28" s="17">
        <f t="shared" ref="BB28" si="53">BB6+BB7+BB8+BB9+BB10+BB11+BB12+BB13+BB14+BB15+BB16+BB17+BB18+BB19+BB20+BB21+BB22+BB23+BB24+BB25+BB26+BB27</f>
        <v>801.1</v>
      </c>
      <c r="BC28" s="17">
        <f t="shared" si="28"/>
        <v>22.673497113098609</v>
      </c>
      <c r="BD28" s="17">
        <f t="shared" ref="BD28" si="54">BD6+BD7+BD8+BD9+BD10+BD11+BD12+BD13+BD14+BD15+BD16+BD17+BD18+BD19+BD20+BD21+BD22+BD23+BD24+BD25+BD26+BD27</f>
        <v>137505.20000000001</v>
      </c>
      <c r="BE28" s="17">
        <f t="shared" ref="BE28" si="55">BE6+BE7+BE8+BE9+BE10+BE11+BE12+BE13+BE14+BE15+BE16+BE17+BE18+BE19+BE20+BE21+BE22+BE23+BE24+BE25+BE26+BE27</f>
        <v>58270.899999999994</v>
      </c>
      <c r="BF28" s="17">
        <f t="shared" si="12"/>
        <v>42.377233733706063</v>
      </c>
      <c r="BG28" s="17">
        <f t="shared" ref="BG28:BN28" si="56">BG6+BG7+BG8+BG9+BG10+BG11+BG12+BG13+BG14+BG15+BG16+BG17+BG18+BG19+BG20+BG21+BG22+BG23+BG24+BG25+BG26+BG27</f>
        <v>32243.5</v>
      </c>
      <c r="BH28" s="17">
        <f t="shared" si="56"/>
        <v>309.7</v>
      </c>
      <c r="BI28" s="17">
        <f>BH28/BG28*100</f>
        <v>0.96050366740583382</v>
      </c>
      <c r="BJ28" s="17">
        <f t="shared" si="56"/>
        <v>315000</v>
      </c>
      <c r="BK28" s="17">
        <f t="shared" si="56"/>
        <v>233607.3</v>
      </c>
      <c r="BL28" s="17">
        <f t="shared" si="13"/>
        <v>74.161047619047622</v>
      </c>
      <c r="BM28" s="17">
        <f t="shared" si="56"/>
        <v>187000</v>
      </c>
      <c r="BN28" s="17">
        <f t="shared" si="56"/>
        <v>70647.199999999997</v>
      </c>
      <c r="BO28" s="17">
        <f t="shared" si="22"/>
        <v>37.779251336898398</v>
      </c>
      <c r="BP28" s="17">
        <f t="shared" ref="BP28:BQ28" si="57">BP6+BP7+BP8+BP9+BP10+BP11+BP12+BP13+BP14+BP15+BP16+BP17+BP18+BP19+BP20+BP21+BP22+BP23+BP24+BP25+BP26+BP27</f>
        <v>6004.2999999999993</v>
      </c>
      <c r="BQ28" s="17">
        <f t="shared" si="57"/>
        <v>3061</v>
      </c>
      <c r="BR28" s="8">
        <f>BQ28/BP28*100</f>
        <v>50.980130906183909</v>
      </c>
      <c r="BS28" s="17">
        <f>SUM(BS6:BS27)</f>
        <v>1352185</v>
      </c>
      <c r="BT28" s="17">
        <f t="shared" ref="BT28" si="58">SUM(BT6:BT27)</f>
        <v>0</v>
      </c>
      <c r="BU28" s="17">
        <v>0</v>
      </c>
      <c r="BV28" s="17">
        <f>SUM(BV6:BV27)</f>
        <v>122000.00000000001</v>
      </c>
      <c r="BW28" s="17">
        <f>SUM(BW6:BW27)</f>
        <v>17773.300000000003</v>
      </c>
      <c r="BX28" s="17">
        <f t="shared" si="14"/>
        <v>14.568278688524591</v>
      </c>
    </row>
    <row r="29" spans="1:76" s="2" customFormat="1" ht="12.75" hidden="1" customHeight="1" x14ac:dyDescent="0.25">
      <c r="A29" s="12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6"/>
      <c r="BH29" s="6"/>
      <c r="BI29" s="6"/>
      <c r="BJ29" s="6"/>
      <c r="BK29" s="6"/>
      <c r="BL29" s="6"/>
      <c r="BM29" s="6"/>
      <c r="BN29" s="6"/>
      <c r="BO29" s="6"/>
    </row>
    <row r="30" spans="1:76" s="2" customFormat="1" ht="20.7" customHeight="1" x14ac:dyDescent="0.25">
      <c r="A30" s="20"/>
      <c r="B30" s="4" t="s">
        <v>16</v>
      </c>
      <c r="C30" s="4"/>
      <c r="D30" s="4"/>
      <c r="E30" s="4"/>
      <c r="F30" s="4"/>
      <c r="G30" s="4"/>
      <c r="H30" s="4"/>
      <c r="I30" s="4"/>
      <c r="J30" s="4"/>
      <c r="K30" s="4"/>
      <c r="L30" s="19" t="s">
        <v>16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15"/>
      <c r="BH30" s="15"/>
      <c r="BI30" s="15"/>
      <c r="BJ30" s="15"/>
      <c r="BK30" s="15"/>
      <c r="BL30" s="15"/>
      <c r="BM30" s="15"/>
      <c r="BN30" s="15"/>
      <c r="BO30" s="15"/>
    </row>
    <row r="31" spans="1:76" s="15" customFormat="1" ht="13.2" customHeight="1" x14ac:dyDescent="0.25">
      <c r="A31" s="13"/>
      <c r="B31" s="4"/>
      <c r="C31" s="19" t="s">
        <v>16</v>
      </c>
      <c r="D31" s="4"/>
      <c r="E31" s="4"/>
      <c r="F31" s="19" t="s">
        <v>16</v>
      </c>
      <c r="G31" s="4"/>
      <c r="H31" s="4"/>
      <c r="I31" s="4"/>
      <c r="J31" s="4"/>
      <c r="K31" s="19"/>
      <c r="L31" s="4"/>
      <c r="M31" s="4"/>
      <c r="N31" s="4"/>
      <c r="O31" s="4"/>
      <c r="P31" s="4"/>
      <c r="Q31" s="19"/>
      <c r="R31" s="19" t="s">
        <v>16</v>
      </c>
      <c r="S31" s="4"/>
      <c r="T31" s="4"/>
      <c r="U31" s="4"/>
      <c r="V31" s="4"/>
      <c r="W31" s="4"/>
      <c r="X31" s="19" t="s">
        <v>16</v>
      </c>
      <c r="Y31" s="4"/>
      <c r="Z31" s="4"/>
      <c r="AA31" s="4"/>
      <c r="AB31" s="19"/>
      <c r="AC31" s="4"/>
      <c r="AD31" s="19" t="s">
        <v>16</v>
      </c>
      <c r="AE31" s="4"/>
      <c r="AF31" s="19"/>
      <c r="AG31" s="19" t="s">
        <v>16</v>
      </c>
      <c r="AH31" s="19"/>
      <c r="AI31" s="4"/>
      <c r="AJ31" s="19" t="s">
        <v>16</v>
      </c>
      <c r="AK31" s="4"/>
      <c r="AL31" s="4"/>
      <c r="AM31" s="4"/>
      <c r="AN31" s="4"/>
      <c r="AO31" s="4"/>
      <c r="AP31" s="4"/>
      <c r="AQ31" s="4"/>
      <c r="AS31" s="28" t="s">
        <v>16</v>
      </c>
      <c r="AU31" s="4"/>
      <c r="AV31" s="19" t="s">
        <v>16</v>
      </c>
      <c r="AW31" s="4"/>
      <c r="AX31" s="19"/>
      <c r="AY31" s="4"/>
      <c r="AZ31" s="4"/>
      <c r="BA31" s="4"/>
      <c r="BB31" s="4"/>
      <c r="BC31" s="4"/>
      <c r="BD31" s="4"/>
      <c r="BE31" s="19" t="s">
        <v>16</v>
      </c>
      <c r="BF31" s="4"/>
    </row>
    <row r="32" spans="1:76" s="15" customFormat="1" ht="12.75" hidden="1" customHeight="1" x14ac:dyDescent="0.25">
      <c r="B32" s="4"/>
      <c r="C32" s="4"/>
      <c r="D32" s="4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</row>
    <row r="33" spans="2:66" s="15" customFormat="1" ht="25.5" hidden="1" customHeight="1" x14ac:dyDescent="0.25">
      <c r="B33" s="4"/>
      <c r="C33" s="23"/>
      <c r="D33" s="23"/>
      <c r="E33" s="23"/>
      <c r="F33" s="23"/>
      <c r="G33" s="23"/>
      <c r="H33" s="23"/>
      <c r="I33" s="23"/>
      <c r="J33" s="23"/>
      <c r="K33" s="24"/>
      <c r="L33" s="23"/>
      <c r="M33" s="23"/>
      <c r="N33" s="25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</row>
    <row r="34" spans="2:66" s="15" customFormat="1" ht="12.75" hidden="1" customHeight="1" x14ac:dyDescent="0.25">
      <c r="B34" s="4"/>
      <c r="C34" s="24"/>
      <c r="D34" s="24"/>
      <c r="E34" s="24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</row>
    <row r="35" spans="2:66" s="15" customFormat="1" ht="12.75" hidden="1" customHeight="1" x14ac:dyDescent="0.25">
      <c r="B35" s="4"/>
      <c r="C35" s="24"/>
      <c r="D35" s="24"/>
      <c r="E35" s="4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</row>
    <row r="36" spans="2:66" s="15" customFormat="1" ht="12.75" hidden="1" customHeight="1" x14ac:dyDescent="0.25">
      <c r="B36" s="4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</row>
    <row r="37" spans="2:66" s="15" customFormat="1" ht="12.75" hidden="1" customHeight="1" x14ac:dyDescent="0.25">
      <c r="B37" s="4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</row>
    <row r="38" spans="2:66" s="15" customFormat="1" ht="12.75" hidden="1" customHeight="1" x14ac:dyDescent="0.25">
      <c r="B38" s="4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</row>
    <row r="39" spans="2:66" s="15" customFormat="1" ht="12.75" hidden="1" customHeight="1" x14ac:dyDescent="0.25">
      <c r="B39" s="4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</row>
    <row r="40" spans="2:66" s="15" customFormat="1" ht="15.6" customHeight="1" x14ac:dyDescent="0.25">
      <c r="B40" s="4"/>
      <c r="C40" s="29" t="s">
        <v>16</v>
      </c>
      <c r="D40" s="23"/>
      <c r="E40" s="24"/>
      <c r="F40" s="24"/>
      <c r="G40" s="23"/>
      <c r="H40" s="23"/>
      <c r="I40" s="23"/>
      <c r="J40" s="26"/>
      <c r="K40" s="23"/>
      <c r="L40" s="23"/>
      <c r="M40" s="23"/>
      <c r="N40" s="23"/>
      <c r="O40" s="23"/>
      <c r="P40" s="26"/>
      <c r="Q40" s="23"/>
      <c r="R40" s="24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6"/>
      <c r="AF40" s="23"/>
      <c r="AG40" s="24"/>
      <c r="AH40" s="26"/>
      <c r="AI40" s="4"/>
      <c r="AJ40" s="24"/>
      <c r="AK40" s="23"/>
      <c r="AL40" s="23"/>
      <c r="AM40" s="23"/>
      <c r="AN40" s="23"/>
      <c r="AO40" s="23"/>
      <c r="AP40" s="23"/>
      <c r="AQ40" s="26"/>
      <c r="AU40" s="23"/>
      <c r="AV40" s="24"/>
      <c r="AW40" s="23"/>
      <c r="AX40" s="24"/>
      <c r="AY40" s="27"/>
      <c r="AZ40" s="23"/>
      <c r="BA40" s="23"/>
      <c r="BB40" s="23"/>
      <c r="BC40" s="23"/>
      <c r="BD40" s="24"/>
      <c r="BE40" s="23"/>
      <c r="BF40" s="23"/>
      <c r="BK40" s="22"/>
      <c r="BN40" s="22"/>
    </row>
  </sheetData>
  <mergeCells count="55">
    <mergeCell ref="I1:M1"/>
    <mergeCell ref="A3:A4"/>
    <mergeCell ref="B3:B4"/>
    <mergeCell ref="C3:C4"/>
    <mergeCell ref="AR3:AT3"/>
    <mergeCell ref="B2:M2"/>
    <mergeCell ref="T3:V3"/>
    <mergeCell ref="AO5:AQ5"/>
    <mergeCell ref="W3:Y3"/>
    <mergeCell ref="W5:Y5"/>
    <mergeCell ref="Z3:AB3"/>
    <mergeCell ref="AI3:AK3"/>
    <mergeCell ref="AI5:AK5"/>
    <mergeCell ref="AL5:AN5"/>
    <mergeCell ref="AL3:AN3"/>
    <mergeCell ref="AO3:AQ3"/>
    <mergeCell ref="Z5:AB5"/>
    <mergeCell ref="AC3:AE3"/>
    <mergeCell ref="AC5:AE5"/>
    <mergeCell ref="AR5:AT5"/>
    <mergeCell ref="D3:D4"/>
    <mergeCell ref="B5:D5"/>
    <mergeCell ref="K3:M3"/>
    <mergeCell ref="K5:M5"/>
    <mergeCell ref="Q3:S3"/>
    <mergeCell ref="Q5:S5"/>
    <mergeCell ref="E5:G5"/>
    <mergeCell ref="H5:J5"/>
    <mergeCell ref="E3:G3"/>
    <mergeCell ref="H3:J3"/>
    <mergeCell ref="N3:P3"/>
    <mergeCell ref="N5:P5"/>
    <mergeCell ref="T5:V5"/>
    <mergeCell ref="AF3:AH3"/>
    <mergeCell ref="AF5:AH5"/>
    <mergeCell ref="BM5:BO5"/>
    <mergeCell ref="BM3:BO3"/>
    <mergeCell ref="BS5:BU5"/>
    <mergeCell ref="AU3:AW3"/>
    <mergeCell ref="AU5:AW5"/>
    <mergeCell ref="AX3:AZ3"/>
    <mergeCell ref="AX5:AZ5"/>
    <mergeCell ref="BG3:BI3"/>
    <mergeCell ref="BG5:BI5"/>
    <mergeCell ref="BJ3:BL3"/>
    <mergeCell ref="BJ5:BL5"/>
    <mergeCell ref="BD3:BF3"/>
    <mergeCell ref="BA5:BC5"/>
    <mergeCell ref="BD5:BF5"/>
    <mergeCell ref="BA3:BC3"/>
    <mergeCell ref="BV3:BX3"/>
    <mergeCell ref="BV5:BX5"/>
    <mergeCell ref="BP3:BR3"/>
    <mergeCell ref="BP5:BR5"/>
    <mergeCell ref="BS3:BU3"/>
  </mergeCells>
  <pageMargins left="0.59055118110236227" right="0.59055118110236227" top="0.31496062992125984" bottom="0.31496062992125984" header="0.31496062992125984" footer="0.31496062992125984"/>
  <pageSetup paperSize="9" scale="75" fitToWidth="0" fitToHeight="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Matrix1</vt:lpstr>
      <vt:lpstr>Лист1</vt:lpstr>
      <vt:lpstr>Matrix1!Заголовки_для_печати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2022-10-31T05:17:12Z</dcterms:modified>
</cp:coreProperties>
</file>