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08" yWindow="312" windowWidth="19416" windowHeight="9996"/>
  </bookViews>
  <sheets>
    <sheet name="Matrix1" sheetId="1" r:id="rId1"/>
    <sheet name="Лист1" sheetId="2" r:id="rId2"/>
  </sheets>
  <definedNames>
    <definedName name="_xlnm.Print_Titles" localSheetId="0">Matrix1!$A:$A</definedName>
  </definedNames>
  <calcPr calcId="145621"/>
</workbook>
</file>

<file path=xl/calcChain.xml><?xml version="1.0" encoding="utf-8"?>
<calcChain xmlns="http://schemas.openxmlformats.org/spreadsheetml/2006/main">
  <c r="F18" i="1" l="1"/>
  <c r="F11" i="1"/>
  <c r="BI23" i="1" l="1"/>
  <c r="AN7" i="1"/>
  <c r="S7" i="1"/>
  <c r="AY10" i="1" l="1"/>
  <c r="AY6" i="1"/>
  <c r="AS13" i="1"/>
  <c r="AX7" i="1" l="1"/>
  <c r="AS7" i="1"/>
  <c r="AC7" i="1"/>
  <c r="V7" i="1"/>
  <c r="AX22" i="1"/>
  <c r="AC22" i="1"/>
  <c r="AX21" i="1"/>
  <c r="AS20" i="1" l="1"/>
  <c r="AX19" i="1"/>
  <c r="AC19" i="1"/>
  <c r="E19" i="1"/>
  <c r="AX18" i="1"/>
  <c r="L17" i="1"/>
  <c r="K17" i="1"/>
  <c r="AI17" i="1"/>
  <c r="E15" i="1"/>
  <c r="AX14" i="1"/>
  <c r="K14" i="1"/>
  <c r="F14" i="1"/>
  <c r="E14" i="1"/>
  <c r="AX13" i="1"/>
  <c r="AF13" i="1"/>
  <c r="L13" i="1"/>
  <c r="F13" i="1"/>
  <c r="E13" i="1"/>
  <c r="AX12" i="1"/>
  <c r="E12" i="1"/>
  <c r="AY11" i="1"/>
  <c r="AS11" i="1"/>
  <c r="L11" i="1"/>
  <c r="K11" i="1"/>
  <c r="E11" i="1"/>
  <c r="AX10" i="1"/>
  <c r="AS10" i="1"/>
  <c r="AY9" i="1"/>
  <c r="AX9" i="1"/>
  <c r="BS27" i="1"/>
  <c r="E9" i="1"/>
  <c r="AS9" i="1"/>
  <c r="X9" i="1"/>
  <c r="L9" i="1"/>
  <c r="K9" i="1"/>
  <c r="F9" i="1"/>
  <c r="AY8" i="1" l="1"/>
  <c r="AX8" i="1"/>
  <c r="AS8" i="1"/>
  <c r="AD8" i="1"/>
  <c r="AC8" i="1"/>
  <c r="L8" i="1"/>
  <c r="K8" i="1"/>
  <c r="AX6" i="1"/>
  <c r="BU24" i="1"/>
  <c r="BU25" i="1"/>
  <c r="BU26" i="1"/>
  <c r="BU27" i="1"/>
  <c r="BU8" i="1"/>
  <c r="BU9" i="1"/>
  <c r="BU6" i="1"/>
  <c r="AS6" i="1" l="1"/>
  <c r="AJ6" i="1"/>
  <c r="AF6" i="1"/>
  <c r="AD6" i="1"/>
  <c r="AC6" i="1"/>
  <c r="X6" i="1"/>
  <c r="L6" i="1"/>
  <c r="F6" i="1"/>
  <c r="E6" i="1"/>
  <c r="N15" i="1" l="1"/>
  <c r="C10" i="1" l="1"/>
  <c r="C15" i="1"/>
  <c r="C7" i="1"/>
  <c r="C8" i="1"/>
  <c r="C9" i="1"/>
  <c r="C11" i="1"/>
  <c r="B12" i="1"/>
  <c r="C12" i="1"/>
  <c r="C13" i="1"/>
  <c r="C14" i="1"/>
  <c r="C16" i="1"/>
  <c r="C17" i="1"/>
  <c r="C18" i="1"/>
  <c r="C19" i="1"/>
  <c r="C20" i="1"/>
  <c r="C21" i="1"/>
  <c r="C22" i="1"/>
  <c r="C23" i="1"/>
  <c r="B24" i="1"/>
  <c r="C24" i="1"/>
  <c r="B25" i="1"/>
  <c r="C25" i="1"/>
  <c r="B26" i="1"/>
  <c r="C26" i="1"/>
  <c r="C27" i="1"/>
  <c r="C6" i="1"/>
  <c r="BT28" i="1"/>
  <c r="BS28" i="1"/>
  <c r="AX27" i="1"/>
  <c r="B27" i="1" s="1"/>
  <c r="K6" i="1"/>
  <c r="AR22" i="1" l="1"/>
  <c r="B22" i="1" s="1"/>
  <c r="AR21" i="1"/>
  <c r="B21" i="1" s="1"/>
  <c r="AR20" i="1"/>
  <c r="B20" i="1" s="1"/>
  <c r="AR19" i="1"/>
  <c r="AR18" i="1"/>
  <c r="AR17" i="1"/>
  <c r="AR16" i="1"/>
  <c r="AR15" i="1"/>
  <c r="AR14" i="1"/>
  <c r="AR13" i="1"/>
  <c r="B13" i="1" s="1"/>
  <c r="AR11" i="1"/>
  <c r="AR10" i="1"/>
  <c r="B10" i="1" s="1"/>
  <c r="AR9" i="1"/>
  <c r="AR8" i="1"/>
  <c r="B8" i="1" s="1"/>
  <c r="AR6" i="1"/>
  <c r="AI6" i="1"/>
  <c r="W14" i="1" l="1"/>
  <c r="B14" i="1" s="1"/>
  <c r="W9" i="1"/>
  <c r="B9" i="1" s="1"/>
  <c r="W11" i="1"/>
  <c r="W19" i="1"/>
  <c r="B19" i="1" s="1"/>
  <c r="E7" i="1"/>
  <c r="B7" i="1" s="1"/>
  <c r="AS28" i="1" l="1"/>
  <c r="W6" i="1" l="1"/>
  <c r="B6" i="1" s="1"/>
  <c r="AX11" i="1"/>
  <c r="B11" i="1" s="1"/>
  <c r="AX17" i="1"/>
  <c r="B17" i="1" s="1"/>
  <c r="AX16" i="1"/>
  <c r="B16" i="1" s="1"/>
  <c r="AX15" i="1"/>
  <c r="B15" i="1" s="1"/>
  <c r="AT21" i="1"/>
  <c r="AT19" i="1"/>
  <c r="AT17" i="1"/>
  <c r="AT16" i="1"/>
  <c r="AT14" i="1"/>
  <c r="AT13" i="1"/>
  <c r="AT9" i="1"/>
  <c r="AT8" i="1"/>
  <c r="AR23" i="1"/>
  <c r="AT22" i="1"/>
  <c r="AT20" i="1"/>
  <c r="AT18" i="1"/>
  <c r="AT15" i="1"/>
  <c r="AT12" i="1"/>
  <c r="AT7" i="1"/>
  <c r="AT23" i="1" l="1"/>
  <c r="B23" i="1"/>
  <c r="AT10" i="1"/>
  <c r="AT11" i="1"/>
  <c r="C28" i="1"/>
  <c r="AR28" i="1"/>
  <c r="AT28" i="1" s="1"/>
  <c r="AT6" i="1"/>
  <c r="E18" i="1"/>
  <c r="B18" i="1" s="1"/>
  <c r="BQ28" i="1" l="1"/>
  <c r="BP28" i="1"/>
  <c r="BR22" i="1"/>
  <c r="BR19" i="1"/>
  <c r="BR12" i="1"/>
  <c r="BR9" i="1"/>
  <c r="BR8" i="1"/>
  <c r="AB26" i="1"/>
  <c r="AB25" i="1"/>
  <c r="AB24" i="1"/>
  <c r="AB21" i="1"/>
  <c r="AB17" i="1"/>
  <c r="BR28" i="1" l="1"/>
  <c r="BO18" i="1" l="1"/>
  <c r="BO17" i="1"/>
  <c r="BO15" i="1"/>
  <c r="BO14" i="1"/>
  <c r="BO7" i="1"/>
  <c r="BI13" i="1"/>
  <c r="BI15" i="1"/>
  <c r="BI17" i="1"/>
  <c r="BI9" i="1"/>
  <c r="AH22" i="1"/>
  <c r="AH19" i="1"/>
  <c r="AH13" i="1"/>
  <c r="AH12" i="1"/>
  <c r="Y13" i="1"/>
  <c r="Y16" i="1"/>
  <c r="Y17" i="1"/>
  <c r="Y18" i="1"/>
  <c r="Y22" i="1"/>
  <c r="Y23" i="1"/>
  <c r="Y24" i="1"/>
  <c r="Y25" i="1"/>
  <c r="Y26" i="1"/>
  <c r="Y19" i="1"/>
  <c r="Y14" i="1"/>
  <c r="V8" i="1"/>
  <c r="V9" i="1"/>
  <c r="B28" i="1" l="1"/>
  <c r="P15" i="1"/>
  <c r="G22" i="1"/>
  <c r="Y9" i="1" l="1"/>
  <c r="Y10" i="1"/>
  <c r="BI22" i="1" l="1"/>
  <c r="BI6" i="1"/>
  <c r="BL7" i="1" l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F7" i="1"/>
  <c r="BF8" i="1"/>
  <c r="BF9" i="1"/>
  <c r="BF10" i="1"/>
  <c r="BF11" i="1"/>
  <c r="BF12" i="1"/>
  <c r="BF13" i="1"/>
  <c r="BF14" i="1"/>
  <c r="BF15" i="1"/>
  <c r="BF17" i="1"/>
  <c r="BF18" i="1"/>
  <c r="BF19" i="1"/>
  <c r="BF21" i="1"/>
  <c r="BF22" i="1"/>
  <c r="BF24" i="1"/>
  <c r="BF25" i="1"/>
  <c r="BF26" i="1"/>
  <c r="BC20" i="1"/>
  <c r="BC24" i="1"/>
  <c r="BC25" i="1"/>
  <c r="BC2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1" i="1"/>
  <c r="AZ22" i="1"/>
  <c r="AZ23" i="1"/>
  <c r="AZ24" i="1"/>
  <c r="AZ25" i="1"/>
  <c r="AZ2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H8" i="1"/>
  <c r="AH9" i="1"/>
  <c r="AH10" i="1"/>
  <c r="AH14" i="1"/>
  <c r="AH15" i="1"/>
  <c r="AH18" i="1"/>
  <c r="AH24" i="1"/>
  <c r="AH25" i="1"/>
  <c r="AH26" i="1"/>
  <c r="BO9" i="1"/>
  <c r="BO10" i="1"/>
  <c r="BO11" i="1"/>
  <c r="BO12" i="1"/>
  <c r="BO13" i="1"/>
  <c r="BO19" i="1"/>
  <c r="BO21" i="1"/>
  <c r="BO22" i="1"/>
  <c r="BO24" i="1"/>
  <c r="BO25" i="1"/>
  <c r="BO26" i="1"/>
  <c r="BL6" i="1"/>
  <c r="AZ6" i="1"/>
  <c r="AW6" i="1"/>
  <c r="AQ6" i="1"/>
  <c r="AN6" i="1"/>
  <c r="AK6" i="1"/>
  <c r="AH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6" i="1"/>
  <c r="Y7" i="1"/>
  <c r="Y8" i="1"/>
  <c r="Y11" i="1"/>
  <c r="Y12" i="1"/>
  <c r="Y6" i="1"/>
  <c r="V24" i="1"/>
  <c r="V25" i="1"/>
  <c r="V2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6" i="1"/>
  <c r="G9" i="1"/>
  <c r="G10" i="1"/>
  <c r="G11" i="1"/>
  <c r="G12" i="1"/>
  <c r="G13" i="1"/>
  <c r="G14" i="1"/>
  <c r="G15" i="1"/>
  <c r="G17" i="1"/>
  <c r="G18" i="1"/>
  <c r="G19" i="1"/>
  <c r="G21" i="1"/>
  <c r="G23" i="1"/>
  <c r="G24" i="1"/>
  <c r="G25" i="1"/>
  <c r="G26" i="1"/>
  <c r="G8" i="1" l="1"/>
  <c r="G6" i="1" l="1"/>
  <c r="BI24" i="1" l="1"/>
  <c r="BI25" i="1"/>
  <c r="BI26" i="1"/>
  <c r="D6" i="1" l="1"/>
  <c r="BM28" i="1"/>
  <c r="BN28" i="1"/>
  <c r="D27" i="1" l="1"/>
  <c r="D25" i="1"/>
  <c r="D23" i="1"/>
  <c r="D21" i="1"/>
  <c r="D19" i="1"/>
  <c r="D17" i="1"/>
  <c r="D15" i="1"/>
  <c r="D13" i="1"/>
  <c r="D11" i="1"/>
  <c r="BO28" i="1"/>
  <c r="D26" i="1"/>
  <c r="D24" i="1"/>
  <c r="D22" i="1"/>
  <c r="D20" i="1"/>
  <c r="D18" i="1"/>
  <c r="D16" i="1"/>
  <c r="D14" i="1"/>
  <c r="D12" i="1"/>
  <c r="D10" i="1"/>
  <c r="D8" i="1"/>
  <c r="D7" i="1"/>
  <c r="D9" i="1"/>
  <c r="BI27" i="1" l="1"/>
  <c r="BG28" i="1"/>
  <c r="BH28" i="1"/>
  <c r="BJ28" i="1"/>
  <c r="BK28" i="1"/>
  <c r="BI28" i="1" l="1"/>
  <c r="BL28" i="1"/>
  <c r="AL28" i="1"/>
  <c r="AG28" i="1"/>
  <c r="AQ7" i="1" l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O28" i="1" l="1"/>
  <c r="AP28" i="1"/>
  <c r="AQ28" i="1"/>
  <c r="AU28" i="1"/>
  <c r="AV28" i="1"/>
  <c r="AX28" i="1"/>
  <c r="AY28" i="1"/>
  <c r="BA28" i="1"/>
  <c r="BB28" i="1"/>
  <c r="BD28" i="1"/>
  <c r="BE28" i="1"/>
  <c r="AM28" i="1"/>
  <c r="AI28" i="1"/>
  <c r="AJ28" i="1"/>
  <c r="AF28" i="1"/>
  <c r="R28" i="1"/>
  <c r="T28" i="1"/>
  <c r="U28" i="1"/>
  <c r="W28" i="1"/>
  <c r="X28" i="1"/>
  <c r="Z28" i="1"/>
  <c r="AA28" i="1"/>
  <c r="AC28" i="1"/>
  <c r="AD28" i="1"/>
  <c r="O28" i="1"/>
  <c r="L28" i="1"/>
  <c r="I28" i="1"/>
  <c r="F28" i="1"/>
  <c r="BF28" i="1" l="1"/>
  <c r="V28" i="1"/>
  <c r="AB28" i="1"/>
  <c r="AK28" i="1"/>
  <c r="BC28" i="1"/>
  <c r="AW28" i="1"/>
  <c r="AZ28" i="1"/>
  <c r="AH28" i="1"/>
  <c r="AE28" i="1"/>
  <c r="Y28" i="1"/>
  <c r="AN28" i="1"/>
  <c r="H28" i="1" l="1"/>
  <c r="K28" i="1"/>
  <c r="N28" i="1"/>
  <c r="Q28" i="1"/>
  <c r="M28" i="1" l="1"/>
  <c r="J28" i="1"/>
  <c r="S28" i="1"/>
  <c r="P28" i="1"/>
  <c r="E28" i="1" l="1"/>
  <c r="G28" i="1" l="1"/>
  <c r="D28" i="1" l="1"/>
</calcChain>
</file>

<file path=xl/sharedStrings.xml><?xml version="1.0" encoding="utf-8"?>
<sst xmlns="http://schemas.openxmlformats.org/spreadsheetml/2006/main" count="171" uniqueCount="55">
  <si>
    <t>Городской округ "Город Южно-Сахалинск"</t>
  </si>
  <si>
    <t>0,00</t>
  </si>
  <si>
    <t>Городской округ "Охинский"</t>
  </si>
  <si>
    <t>Поронайский городской округ</t>
  </si>
  <si>
    <t>"Анивский городской округ"</t>
  </si>
  <si>
    <t>"Курильский городской округ"</t>
  </si>
  <si>
    <t>"Городской округ Ногликский"</t>
  </si>
  <si>
    <t>Городской округ "Смирныховский"</t>
  </si>
  <si>
    <t>Северо-Курильский городской округ</t>
  </si>
  <si>
    <t>"Тымовский городской округ"</t>
  </si>
  <si>
    <t>"Южно-Курильский городской округ"</t>
  </si>
  <si>
    <t>Углегорское городское поселение Углегорского муниципального района Сахалинской области</t>
  </si>
  <si>
    <t>Шахтерское городское поселение Углегорского муниципального района Сахалинской области</t>
  </si>
  <si>
    <t>Бошняковское сельское поселение Углегорского муниципального района Сахалинской области</t>
  </si>
  <si>
    <t>Нераспределенная сумма</t>
  </si>
  <si>
    <t>Всего</t>
  </si>
  <si>
    <t xml:space="preserve"> </t>
  </si>
  <si>
    <t>кассовое исполнение</t>
  </si>
  <si>
    <t xml:space="preserve">план  </t>
  </si>
  <si>
    <t>Кассовое исполнение</t>
  </si>
  <si>
    <t>% исполнения</t>
  </si>
  <si>
    <t>"Невельской городской округ"</t>
  </si>
  <si>
    <t>Углегорский городской округ</t>
  </si>
  <si>
    <t xml:space="preserve">на обеспечение доступности приоритетных объектов и услуг в приоритетных сферах жизнедеятельности на территории муниципальных образований  </t>
  </si>
  <si>
    <t xml:space="preserve">на осуществление мероприятий по повышению качества предоставляемых жилищно-коммунальных услуг  </t>
  </si>
  <si>
    <t xml:space="preserve">на создание условий для развития туризма  </t>
  </si>
  <si>
    <t xml:space="preserve">на реализацию мероприятий по охране окружающей среды, экологической реабилитации и воспроизводству природных объектов  </t>
  </si>
  <si>
    <t xml:space="preserve">на софинансирование расходов муниципальных образований в сфере транспорта и дорожного хозяйства  </t>
  </si>
  <si>
    <t xml:space="preserve">на осуществление функций административного центра Сахалинской области  </t>
  </si>
  <si>
    <t xml:space="preserve">на поддержку муниципальных программ формирования современной городской среды  </t>
  </si>
  <si>
    <t xml:space="preserve">на развитие агропромышленного комплекса  </t>
  </si>
  <si>
    <t xml:space="preserve">софинансирование капитальных вложений в объекты муниципальной собственности  </t>
  </si>
  <si>
    <t xml:space="preserve">на проведение комплекса мероприятий по борьбе с борщевиком Сосновского на территории Сахалинской области  </t>
  </si>
  <si>
    <t xml:space="preserve">на реализацию мероприятий по обустройству (созданию) мест (площадок) накопления твердых коммунальных отходов  </t>
  </si>
  <si>
    <t xml:space="preserve">на проведение комплексных кадастровых работ  </t>
  </si>
  <si>
    <t xml:space="preserve">на реализацию инициативных проектов в Сахалинской области  </t>
  </si>
  <si>
    <t xml:space="preserve"> на обеспечение населения качественным жильем
  </t>
  </si>
  <si>
    <t xml:space="preserve">на улучшение жилищных условий граждан, проживающих на сельских территориях
  </t>
  </si>
  <si>
    <t xml:space="preserve">на реализацию в Сахалинской области общественно значимых проектов в рамках проекта "Молодежный бюджет" </t>
  </si>
  <si>
    <t xml:space="preserve">Городской округ "Александровск-Сахалинский район"  </t>
  </si>
  <si>
    <t xml:space="preserve">Городской округ "Долинский"  </t>
  </si>
  <si>
    <t xml:space="preserve">"Корсаковский городской округ" </t>
  </si>
  <si>
    <t xml:space="preserve">"Томаринский городской округ"  </t>
  </si>
  <si>
    <t>ВСЕГО субсидии 2022 год</t>
  </si>
  <si>
    <t>на реализацию мероприятий по благоустройству сельских территорий</t>
  </si>
  <si>
    <t xml:space="preserve">организация электро-, тепло-, газоснабжения  </t>
  </si>
  <si>
    <t xml:space="preserve">на развитие культуры  </t>
  </si>
  <si>
    <t xml:space="preserve">на развитие образования  </t>
  </si>
  <si>
    <t xml:space="preserve">на развитие физической культуры и спорта  </t>
  </si>
  <si>
    <t xml:space="preserve">на софинансирование мероприятий муниципальных программ по поддержке и развитию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организаций, образующих инфраструктуру поддержки субъектов малого и среднего предпринимательства  </t>
  </si>
  <si>
    <t xml:space="preserve">на софинансирование капитальных вложений в объекты муниципальной собственности, реализуемые в рамках концессионных соглашений
</t>
  </si>
  <si>
    <t>Исполнение МБТ, предоставляемых муниципальным образованиям Сахалинской области, за 1 полугодие 2022 года</t>
  </si>
  <si>
    <t xml:space="preserve">Приложение № 5 к заключению на отчет об исполнении областного бюджета за 1 полугодие 2022 года </t>
  </si>
  <si>
    <t xml:space="preserve">"Холмский городской округ"  </t>
  </si>
  <si>
    <t xml:space="preserve">"Макаровский городской округ"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</si>
</sst>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р_."/>
    <numFmt numFmtId="165" formatCode="#,##0.0"/>
    <numFmt numFmtId="166" formatCode="#,##0.0\ _₽"/>
    <numFmt numFmtId="167" formatCode="_-* #,##0.0\ _₽_-;\-* #,##0.0\ _₽_-;_-* &quot;-&quot;??\ _₽_-;_-@_-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8" fillId="0" borderId="0" applyFont="0" applyFill="0" applyBorder="0" applyAlignment="0" applyProtection="0"/>
    <xf numFmtId="0" fontId="5" fillId="0" borderId="0">
      <alignment vertical="top" wrapText="1"/>
    </xf>
  </cellStyleXfs>
  <cellXfs count="4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7" fontId="0" fillId="0" borderId="0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RowHeight="13.2" x14ac:dyDescent="0.25"/>
  <cols>
    <col min="1" max="1" width="40" customWidth="1"/>
    <col min="2" max="2" width="17.77734375" style="3" customWidth="1"/>
    <col min="3" max="3" width="17.109375" style="3" customWidth="1"/>
    <col min="4" max="4" width="9.77734375" style="3" customWidth="1"/>
    <col min="5" max="5" width="14.33203125" style="3" customWidth="1"/>
    <col min="6" max="6" width="13.5546875" style="3" customWidth="1"/>
    <col min="7" max="7" width="8.77734375" style="3" customWidth="1"/>
    <col min="8" max="8" width="13.77734375" style="3" customWidth="1"/>
    <col min="9" max="9" width="14.109375" style="3" customWidth="1"/>
    <col min="10" max="10" width="8.77734375" style="3" customWidth="1"/>
    <col min="11" max="12" width="15.33203125" style="3" customWidth="1"/>
    <col min="13" max="13" width="8.44140625" style="3" customWidth="1"/>
    <col min="14" max="14" width="13.109375" style="3" customWidth="1"/>
    <col min="15" max="15" width="13.6640625" style="3" customWidth="1"/>
    <col min="16" max="16" width="8.6640625" style="3" customWidth="1"/>
    <col min="17" max="17" width="15.109375" style="3" customWidth="1"/>
    <col min="18" max="18" width="15.6640625" style="3" customWidth="1"/>
    <col min="19" max="19" width="8.44140625" style="3" customWidth="1"/>
    <col min="20" max="20" width="14.6640625" style="3" customWidth="1"/>
    <col min="21" max="21" width="15" style="3" customWidth="1"/>
    <col min="22" max="22" width="8.6640625" style="3" customWidth="1"/>
    <col min="23" max="23" width="14.6640625" style="3" customWidth="1"/>
    <col min="24" max="24" width="15.6640625" style="3" customWidth="1"/>
    <col min="25" max="25" width="8.33203125" style="3" customWidth="1"/>
    <col min="26" max="26" width="13.44140625" style="3" customWidth="1"/>
    <col min="27" max="27" width="13.77734375" style="3" customWidth="1"/>
    <col min="28" max="28" width="8.6640625" style="3" customWidth="1"/>
    <col min="29" max="29" width="14.109375" style="3" customWidth="1"/>
    <col min="30" max="30" width="14" style="3" customWidth="1"/>
    <col min="31" max="31" width="8.77734375" style="3" customWidth="1"/>
    <col min="32" max="32" width="14.44140625" style="3" customWidth="1"/>
    <col min="33" max="33" width="14.77734375" style="3" customWidth="1"/>
    <col min="34" max="34" width="8.109375" style="3" customWidth="1"/>
    <col min="35" max="35" width="16" style="3" customWidth="1"/>
    <col min="36" max="36" width="15.6640625" style="3" customWidth="1"/>
    <col min="37" max="37" width="8.6640625" style="3" customWidth="1"/>
    <col min="38" max="38" width="18.6640625" style="3" customWidth="1"/>
    <col min="39" max="39" width="19" style="3" customWidth="1"/>
    <col min="40" max="40" width="11.21875" style="3" customWidth="1"/>
    <col min="41" max="41" width="13.5546875" style="3" customWidth="1"/>
    <col min="42" max="42" width="13" style="3" customWidth="1"/>
    <col min="43" max="43" width="8.33203125" style="3" customWidth="1"/>
    <col min="44" max="44" width="14.21875" style="2" customWidth="1"/>
    <col min="45" max="45" width="13" style="2" customWidth="1"/>
    <col min="46" max="46" width="9.33203125" style="2" customWidth="1"/>
    <col min="47" max="47" width="13.77734375" style="3" customWidth="1"/>
    <col min="48" max="48" width="13.88671875" style="3" customWidth="1"/>
    <col min="49" max="49" width="8.109375" style="3" customWidth="1"/>
    <col min="50" max="51" width="16.44140625" style="3" customWidth="1"/>
    <col min="52" max="52" width="8.77734375" style="3" customWidth="1"/>
    <col min="53" max="53" width="13.6640625" style="3" customWidth="1"/>
    <col min="54" max="54" width="14" style="3" customWidth="1"/>
    <col min="55" max="55" width="8.88671875" style="3" customWidth="1"/>
    <col min="56" max="56" width="14.109375" style="3" customWidth="1"/>
    <col min="57" max="57" width="13.77734375" style="3" customWidth="1"/>
    <col min="58" max="58" width="8.77734375" style="3" customWidth="1"/>
    <col min="59" max="59" width="13.109375" customWidth="1"/>
    <col min="60" max="60" width="14.109375" customWidth="1"/>
    <col min="61" max="61" width="8.33203125" customWidth="1"/>
    <col min="62" max="62" width="13.77734375" customWidth="1"/>
    <col min="63" max="63" width="14.77734375" customWidth="1"/>
    <col min="64" max="64" width="8.44140625" customWidth="1"/>
    <col min="65" max="65" width="13.6640625" style="2" customWidth="1"/>
    <col min="66" max="66" width="14.44140625" style="2" customWidth="1"/>
    <col min="67" max="67" width="8.109375" style="2" customWidth="1"/>
    <col min="68" max="68" width="14.77734375" style="2" customWidth="1"/>
    <col min="69" max="69" width="15.109375" style="2" customWidth="1"/>
    <col min="70" max="70" width="9.33203125" style="2" customWidth="1"/>
    <col min="71" max="71" width="13.77734375" style="2" customWidth="1"/>
    <col min="72" max="73" width="9.33203125" style="2" customWidth="1"/>
    <col min="75" max="75" width="14.109375" customWidth="1"/>
  </cols>
  <sheetData>
    <row r="1" spans="1:73" s="2" customFormat="1" ht="34.950000000000003" customHeight="1" x14ac:dyDescent="0.25">
      <c r="B1" s="3"/>
      <c r="C1" s="3"/>
      <c r="D1" s="3"/>
      <c r="E1" s="3"/>
      <c r="F1" s="3"/>
      <c r="G1" s="3"/>
      <c r="H1" s="3"/>
      <c r="I1" s="42" t="s">
        <v>52</v>
      </c>
      <c r="J1" s="42"/>
      <c r="K1" s="42"/>
      <c r="L1" s="42"/>
      <c r="M1" s="4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73" s="2" customFormat="1" ht="27.6" customHeight="1" x14ac:dyDescent="0.25">
      <c r="A2" s="10"/>
      <c r="B2" s="43" t="s">
        <v>51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73" s="1" customFormat="1" ht="123.6" customHeight="1" x14ac:dyDescent="0.25">
      <c r="A3" s="37"/>
      <c r="B3" s="37" t="s">
        <v>43</v>
      </c>
      <c r="C3" s="37" t="s">
        <v>19</v>
      </c>
      <c r="D3" s="37" t="s">
        <v>20</v>
      </c>
      <c r="E3" s="37" t="s">
        <v>47</v>
      </c>
      <c r="F3" s="37"/>
      <c r="G3" s="37"/>
      <c r="H3" s="37" t="s">
        <v>23</v>
      </c>
      <c r="I3" s="37"/>
      <c r="J3" s="37"/>
      <c r="K3" s="37" t="s">
        <v>36</v>
      </c>
      <c r="L3" s="37"/>
      <c r="M3" s="37"/>
      <c r="N3" s="37" t="s">
        <v>37</v>
      </c>
      <c r="O3" s="37"/>
      <c r="P3" s="37"/>
      <c r="Q3" s="37" t="s">
        <v>24</v>
      </c>
      <c r="R3" s="37"/>
      <c r="S3" s="37"/>
      <c r="T3" s="37" t="s">
        <v>25</v>
      </c>
      <c r="U3" s="37"/>
      <c r="V3" s="37"/>
      <c r="W3" s="37" t="s">
        <v>46</v>
      </c>
      <c r="X3" s="37"/>
      <c r="Y3" s="37"/>
      <c r="Z3" s="37" t="s">
        <v>26</v>
      </c>
      <c r="AA3" s="37"/>
      <c r="AB3" s="37"/>
      <c r="AC3" s="37" t="s">
        <v>48</v>
      </c>
      <c r="AD3" s="37"/>
      <c r="AE3" s="37"/>
      <c r="AF3" s="37" t="s">
        <v>45</v>
      </c>
      <c r="AG3" s="37"/>
      <c r="AH3" s="37"/>
      <c r="AI3" s="37" t="s">
        <v>27</v>
      </c>
      <c r="AJ3" s="37"/>
      <c r="AK3" s="37"/>
      <c r="AL3" s="37" t="s">
        <v>49</v>
      </c>
      <c r="AM3" s="37"/>
      <c r="AN3" s="37"/>
      <c r="AO3" s="37" t="s">
        <v>28</v>
      </c>
      <c r="AP3" s="37"/>
      <c r="AQ3" s="37"/>
      <c r="AR3" s="37" t="s">
        <v>29</v>
      </c>
      <c r="AS3" s="37"/>
      <c r="AT3" s="37"/>
      <c r="AU3" s="37" t="s">
        <v>30</v>
      </c>
      <c r="AV3" s="37"/>
      <c r="AW3" s="37"/>
      <c r="AX3" s="37" t="s">
        <v>31</v>
      </c>
      <c r="AY3" s="37"/>
      <c r="AZ3" s="37"/>
      <c r="BA3" s="37" t="s">
        <v>32</v>
      </c>
      <c r="BB3" s="37"/>
      <c r="BC3" s="37"/>
      <c r="BD3" s="37" t="s">
        <v>33</v>
      </c>
      <c r="BE3" s="37"/>
      <c r="BF3" s="37"/>
      <c r="BG3" s="37" t="s">
        <v>34</v>
      </c>
      <c r="BH3" s="37"/>
      <c r="BI3" s="37"/>
      <c r="BJ3" s="37" t="s">
        <v>38</v>
      </c>
      <c r="BK3" s="37"/>
      <c r="BL3" s="37"/>
      <c r="BM3" s="37" t="s">
        <v>35</v>
      </c>
      <c r="BN3" s="37"/>
      <c r="BO3" s="37"/>
      <c r="BP3" s="37" t="s">
        <v>44</v>
      </c>
      <c r="BQ3" s="37"/>
      <c r="BR3" s="37"/>
      <c r="BS3" s="39" t="s">
        <v>50</v>
      </c>
      <c r="BT3" s="40"/>
      <c r="BU3" s="41"/>
    </row>
    <row r="4" spans="1:73" s="1" customFormat="1" ht="43.95" customHeight="1" x14ac:dyDescent="0.25">
      <c r="A4" s="37"/>
      <c r="B4" s="37"/>
      <c r="C4" s="37"/>
      <c r="D4" s="37"/>
      <c r="E4" s="14" t="s">
        <v>18</v>
      </c>
      <c r="F4" s="14" t="s">
        <v>17</v>
      </c>
      <c r="G4" s="35" t="s">
        <v>20</v>
      </c>
      <c r="H4" s="14" t="s">
        <v>18</v>
      </c>
      <c r="I4" s="14" t="s">
        <v>17</v>
      </c>
      <c r="J4" s="35" t="s">
        <v>20</v>
      </c>
      <c r="K4" s="14" t="s">
        <v>18</v>
      </c>
      <c r="L4" s="14" t="s">
        <v>17</v>
      </c>
      <c r="M4" s="35" t="s">
        <v>20</v>
      </c>
      <c r="N4" s="14" t="s">
        <v>18</v>
      </c>
      <c r="O4" s="14" t="s">
        <v>17</v>
      </c>
      <c r="P4" s="35" t="s">
        <v>20</v>
      </c>
      <c r="Q4" s="14" t="s">
        <v>18</v>
      </c>
      <c r="R4" s="14" t="s">
        <v>17</v>
      </c>
      <c r="S4" s="35" t="s">
        <v>20</v>
      </c>
      <c r="T4" s="14" t="s">
        <v>18</v>
      </c>
      <c r="U4" s="14" t="s">
        <v>17</v>
      </c>
      <c r="V4" s="35" t="s">
        <v>20</v>
      </c>
      <c r="W4" s="14" t="s">
        <v>18</v>
      </c>
      <c r="X4" s="14" t="s">
        <v>17</v>
      </c>
      <c r="Y4" s="35" t="s">
        <v>20</v>
      </c>
      <c r="Z4" s="14" t="s">
        <v>18</v>
      </c>
      <c r="AA4" s="14" t="s">
        <v>17</v>
      </c>
      <c r="AB4" s="35" t="s">
        <v>20</v>
      </c>
      <c r="AC4" s="14" t="s">
        <v>18</v>
      </c>
      <c r="AD4" s="14" t="s">
        <v>17</v>
      </c>
      <c r="AE4" s="35" t="s">
        <v>20</v>
      </c>
      <c r="AF4" s="14" t="s">
        <v>18</v>
      </c>
      <c r="AG4" s="14" t="s">
        <v>17</v>
      </c>
      <c r="AH4" s="35" t="s">
        <v>20</v>
      </c>
      <c r="AI4" s="14" t="s">
        <v>18</v>
      </c>
      <c r="AJ4" s="14" t="s">
        <v>17</v>
      </c>
      <c r="AK4" s="35" t="s">
        <v>20</v>
      </c>
      <c r="AL4" s="14" t="s">
        <v>18</v>
      </c>
      <c r="AM4" s="14" t="s">
        <v>17</v>
      </c>
      <c r="AN4" s="35" t="s">
        <v>20</v>
      </c>
      <c r="AO4" s="14" t="s">
        <v>18</v>
      </c>
      <c r="AP4" s="14" t="s">
        <v>17</v>
      </c>
      <c r="AQ4" s="35" t="s">
        <v>20</v>
      </c>
      <c r="AR4" s="14" t="s">
        <v>18</v>
      </c>
      <c r="AS4" s="14" t="s">
        <v>17</v>
      </c>
      <c r="AT4" s="35" t="s">
        <v>20</v>
      </c>
      <c r="AU4" s="14" t="s">
        <v>18</v>
      </c>
      <c r="AV4" s="14" t="s">
        <v>17</v>
      </c>
      <c r="AW4" s="35" t="s">
        <v>20</v>
      </c>
      <c r="AX4" s="14" t="s">
        <v>18</v>
      </c>
      <c r="AY4" s="14" t="s">
        <v>17</v>
      </c>
      <c r="AZ4" s="35" t="s">
        <v>20</v>
      </c>
      <c r="BA4" s="14" t="s">
        <v>18</v>
      </c>
      <c r="BB4" s="14" t="s">
        <v>17</v>
      </c>
      <c r="BC4" s="35" t="s">
        <v>20</v>
      </c>
      <c r="BD4" s="14" t="s">
        <v>18</v>
      </c>
      <c r="BE4" s="14" t="s">
        <v>17</v>
      </c>
      <c r="BF4" s="35" t="s">
        <v>20</v>
      </c>
      <c r="BG4" s="14" t="s">
        <v>18</v>
      </c>
      <c r="BH4" s="14" t="s">
        <v>17</v>
      </c>
      <c r="BI4" s="35" t="s">
        <v>20</v>
      </c>
      <c r="BJ4" s="14" t="s">
        <v>18</v>
      </c>
      <c r="BK4" s="14" t="s">
        <v>17</v>
      </c>
      <c r="BL4" s="35" t="s">
        <v>20</v>
      </c>
      <c r="BM4" s="14" t="s">
        <v>18</v>
      </c>
      <c r="BN4" s="14" t="s">
        <v>17</v>
      </c>
      <c r="BO4" s="35" t="s">
        <v>20</v>
      </c>
      <c r="BP4" s="14" t="s">
        <v>18</v>
      </c>
      <c r="BQ4" s="14" t="s">
        <v>17</v>
      </c>
      <c r="BR4" s="35" t="s">
        <v>20</v>
      </c>
      <c r="BS4" s="14" t="s">
        <v>18</v>
      </c>
      <c r="BT4" s="14" t="s">
        <v>17</v>
      </c>
      <c r="BU4" s="35" t="s">
        <v>20</v>
      </c>
    </row>
    <row r="5" spans="1:73" s="2" customFormat="1" x14ac:dyDescent="0.25">
      <c r="A5" s="16" t="s">
        <v>16</v>
      </c>
      <c r="B5" s="38" t="s">
        <v>16</v>
      </c>
      <c r="C5" s="38"/>
      <c r="D5" s="38"/>
      <c r="E5" s="38">
        <v>1</v>
      </c>
      <c r="F5" s="38"/>
      <c r="G5" s="38"/>
      <c r="H5" s="38">
        <v>2</v>
      </c>
      <c r="I5" s="38"/>
      <c r="J5" s="38"/>
      <c r="K5" s="38">
        <v>3</v>
      </c>
      <c r="L5" s="38"/>
      <c r="M5" s="38"/>
      <c r="N5" s="38">
        <v>4</v>
      </c>
      <c r="O5" s="38"/>
      <c r="P5" s="38"/>
      <c r="Q5" s="38">
        <v>5</v>
      </c>
      <c r="R5" s="38"/>
      <c r="S5" s="38"/>
      <c r="T5" s="38">
        <v>6</v>
      </c>
      <c r="U5" s="38"/>
      <c r="V5" s="38"/>
      <c r="W5" s="38">
        <v>7</v>
      </c>
      <c r="X5" s="38"/>
      <c r="Y5" s="38"/>
      <c r="Z5" s="38">
        <v>8</v>
      </c>
      <c r="AA5" s="38"/>
      <c r="AB5" s="38"/>
      <c r="AC5" s="38">
        <v>9</v>
      </c>
      <c r="AD5" s="38"/>
      <c r="AE5" s="38"/>
      <c r="AF5" s="38">
        <v>10</v>
      </c>
      <c r="AG5" s="38"/>
      <c r="AH5" s="38"/>
      <c r="AI5" s="38">
        <v>11</v>
      </c>
      <c r="AJ5" s="38"/>
      <c r="AK5" s="38"/>
      <c r="AL5" s="38">
        <v>12</v>
      </c>
      <c r="AM5" s="38"/>
      <c r="AN5" s="38"/>
      <c r="AO5" s="38">
        <v>13</v>
      </c>
      <c r="AP5" s="38"/>
      <c r="AQ5" s="38"/>
      <c r="AR5" s="38">
        <v>14</v>
      </c>
      <c r="AS5" s="38"/>
      <c r="AT5" s="38"/>
      <c r="AU5" s="38">
        <v>15</v>
      </c>
      <c r="AV5" s="38"/>
      <c r="AW5" s="38"/>
      <c r="AX5" s="38">
        <v>16</v>
      </c>
      <c r="AY5" s="38"/>
      <c r="AZ5" s="38"/>
      <c r="BA5" s="38">
        <v>17</v>
      </c>
      <c r="BB5" s="38"/>
      <c r="BC5" s="38"/>
      <c r="BD5" s="38">
        <v>18</v>
      </c>
      <c r="BE5" s="38"/>
      <c r="BF5" s="38"/>
      <c r="BG5" s="38">
        <v>19</v>
      </c>
      <c r="BH5" s="38"/>
      <c r="BI5" s="38"/>
      <c r="BJ5" s="38">
        <v>20</v>
      </c>
      <c r="BK5" s="38"/>
      <c r="BL5" s="38"/>
      <c r="BM5" s="38">
        <v>21</v>
      </c>
      <c r="BN5" s="38"/>
      <c r="BO5" s="38"/>
      <c r="BP5" s="38">
        <v>35</v>
      </c>
      <c r="BQ5" s="38"/>
      <c r="BR5" s="38"/>
      <c r="BS5" s="36"/>
      <c r="BT5" s="36"/>
      <c r="BU5" s="36"/>
    </row>
    <row r="6" spans="1:73" s="2" customFormat="1" ht="31.2" x14ac:dyDescent="0.3">
      <c r="A6" s="11" t="s">
        <v>0</v>
      </c>
      <c r="B6" s="8">
        <f>E6+H6+K6+N6+Q6+T6+W6+Z6+AC6+AF6+AI6+AL6+AO6+AR6+AU6+AX6+BA6+BD6+BG6+BJ6+BM6+BP6+BS6</f>
        <v>6717898.1000000006</v>
      </c>
      <c r="C6" s="8">
        <f>F6+I6+L6+O6+R6+U6+X6+AA6+AD6+AG6+AJ6+AM6+AP6+AS6+AV6+AY6+BB6+BE6+BH6+BK6+BN6+BQ6+BT6</f>
        <v>3195523.1999999997</v>
      </c>
      <c r="D6" s="8">
        <f>C6/B6*100</f>
        <v>47.567306803894496</v>
      </c>
      <c r="E6" s="26">
        <f>66217.9+(159898.3+33375.7)</f>
        <v>259491.9</v>
      </c>
      <c r="F6" s="8">
        <f>46835.5+32042.7</f>
        <v>78878.2</v>
      </c>
      <c r="G6" s="8">
        <f>F6/E6*100</f>
        <v>30.397172320215006</v>
      </c>
      <c r="H6" s="9">
        <v>8785.7000000000007</v>
      </c>
      <c r="I6" s="9">
        <v>1386</v>
      </c>
      <c r="J6" s="8">
        <f>I6/H6*100</f>
        <v>15.775635407537248</v>
      </c>
      <c r="K6" s="20">
        <f>821344.1+34957</f>
        <v>856301.1</v>
      </c>
      <c r="L6" s="8">
        <f>725218.2+15022.6</f>
        <v>740240.79999999993</v>
      </c>
      <c r="M6" s="8">
        <f>L6/K6*100</f>
        <v>86.446321276476226</v>
      </c>
      <c r="N6" s="8">
        <v>0</v>
      </c>
      <c r="O6" s="8">
        <v>0</v>
      </c>
      <c r="P6" s="8">
        <v>0</v>
      </c>
      <c r="Q6" s="20">
        <v>179768.9</v>
      </c>
      <c r="R6" s="8">
        <v>30927.1</v>
      </c>
      <c r="S6" s="8">
        <f>R6/Q6*100</f>
        <v>17.203810002731284</v>
      </c>
      <c r="T6" s="20">
        <v>0</v>
      </c>
      <c r="U6" s="8">
        <v>0</v>
      </c>
      <c r="V6" s="8">
        <v>0</v>
      </c>
      <c r="W6" s="20">
        <f>2754.4+11097</f>
        <v>13851.4</v>
      </c>
      <c r="X6" s="20">
        <f>578.5+601.4</f>
        <v>1179.9000000000001</v>
      </c>
      <c r="Y6" s="8">
        <f>X6/W6*100</f>
        <v>8.5182725211891945</v>
      </c>
      <c r="Z6" s="20">
        <v>0</v>
      </c>
      <c r="AA6" s="8">
        <v>0</v>
      </c>
      <c r="AB6" s="8">
        <v>0</v>
      </c>
      <c r="AC6" s="20">
        <f>3049.8+7092.1</f>
        <v>10141.900000000001</v>
      </c>
      <c r="AD6" s="8">
        <f>1000.4+50.6</f>
        <v>1051</v>
      </c>
      <c r="AE6" s="8">
        <f>AD6/AC6*100</f>
        <v>10.362949743144775</v>
      </c>
      <c r="AF6" s="20">
        <f>(96063.6+8910)</f>
        <v>104973.6</v>
      </c>
      <c r="AG6" s="8">
        <v>84766.6</v>
      </c>
      <c r="AH6" s="8">
        <f>AG6/AF6*100</f>
        <v>80.750398195355785</v>
      </c>
      <c r="AI6" s="20">
        <f>800919.8+850905</f>
        <v>1651824.8</v>
      </c>
      <c r="AJ6" s="28">
        <f>277297.7+161260.6</f>
        <v>438558.30000000005</v>
      </c>
      <c r="AK6" s="8">
        <f>AJ6/AI6*100</f>
        <v>26.549928297480463</v>
      </c>
      <c r="AL6" s="20">
        <v>20705.099999999999</v>
      </c>
      <c r="AM6" s="20">
        <v>7000</v>
      </c>
      <c r="AN6" s="8">
        <f>AM6/AL6*100</f>
        <v>33.808095589975416</v>
      </c>
      <c r="AO6" s="8">
        <v>602858</v>
      </c>
      <c r="AP6" s="8">
        <v>503806.3</v>
      </c>
      <c r="AQ6" s="8">
        <f>AP6/AO6*100</f>
        <v>83.569646583440871</v>
      </c>
      <c r="AR6" s="9">
        <f>16587+43413+103827.3+78500</f>
        <v>242327.3</v>
      </c>
      <c r="AS6" s="9">
        <f>5650+26068.8+9454.7+10822.7</f>
        <v>51996.2</v>
      </c>
      <c r="AT6" s="8">
        <f t="shared" ref="AT6:AT7" si="0">AS6/AR6*100</f>
        <v>21.457012891242545</v>
      </c>
      <c r="AU6" s="20">
        <v>8716.6</v>
      </c>
      <c r="AV6" s="28">
        <v>4534.2</v>
      </c>
      <c r="AW6" s="8">
        <f>AV6/AU6*100</f>
        <v>52.017988665305268</v>
      </c>
      <c r="AX6" s="27">
        <f>120000+39996.5+1644360.1+509952+167594.5</f>
        <v>2481903.1</v>
      </c>
      <c r="AY6" s="28">
        <f>0+21297.3+(600747.2+593.7)+0+463457.6+154179.2</f>
        <v>1240274.9999999998</v>
      </c>
      <c r="AZ6" s="8">
        <f>AY6/AX6*100</f>
        <v>49.972740676297953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21">
        <v>5798.7</v>
      </c>
      <c r="BH6" s="21">
        <v>0</v>
      </c>
      <c r="BI6" s="8">
        <f>BH6/BG6*100</f>
        <v>0</v>
      </c>
      <c r="BJ6" s="9">
        <v>67500</v>
      </c>
      <c r="BK6" s="9">
        <v>10923.6</v>
      </c>
      <c r="BL6" s="8">
        <f>BK6/BJ6*100</f>
        <v>16.183111111111113</v>
      </c>
      <c r="BM6" s="25">
        <v>0</v>
      </c>
      <c r="BN6" s="9">
        <v>0</v>
      </c>
      <c r="BO6" s="8">
        <v>0</v>
      </c>
      <c r="BP6" s="9">
        <v>0</v>
      </c>
      <c r="BQ6" s="9">
        <v>0</v>
      </c>
      <c r="BR6" s="8">
        <v>0</v>
      </c>
      <c r="BS6" s="8">
        <v>202950</v>
      </c>
      <c r="BT6" s="8">
        <v>0</v>
      </c>
      <c r="BU6" s="8">
        <f>BT6/BS6*100</f>
        <v>0</v>
      </c>
    </row>
    <row r="7" spans="1:73" s="2" customFormat="1" ht="31.2" customHeight="1" x14ac:dyDescent="0.3">
      <c r="A7" s="11" t="s">
        <v>39</v>
      </c>
      <c r="B7" s="8">
        <f t="shared" ref="B7:B27" si="1">E7+H7+K7+N7+Q7+T7+W7+Z7+AC7+AF7+AI7+AL7+AO7+AR7+AU7+AX7+BA7+BD7+BG7+BJ7+BM7+BP7+BS7</f>
        <v>678289.7</v>
      </c>
      <c r="C7" s="8">
        <f t="shared" ref="C7:C27" si="2">F7+I7+L7+O7+R7+U7+X7+AA7+AD7+AG7+AJ7+AM7+AP7+AS7+AV7+AY7+BB7+BE7+BH7+BK7+BN7+BQ7+BT7</f>
        <v>298289.19999999995</v>
      </c>
      <c r="D7" s="8">
        <f t="shared" ref="D7:D28" si="3">C7/B7*100</f>
        <v>43.976666607203377</v>
      </c>
      <c r="E7" s="26">
        <f>43531.3</f>
        <v>43531.3</v>
      </c>
      <c r="F7" s="8">
        <v>10033.299999999999</v>
      </c>
      <c r="G7" s="8">
        <v>0</v>
      </c>
      <c r="H7" s="9">
        <v>521.79999999999995</v>
      </c>
      <c r="I7" s="9">
        <v>0</v>
      </c>
      <c r="J7" s="8">
        <f t="shared" ref="J7:J28" si="4">I7/H7*100</f>
        <v>0</v>
      </c>
      <c r="K7" s="20">
        <v>3591.4</v>
      </c>
      <c r="L7" s="8">
        <v>449.1</v>
      </c>
      <c r="M7" s="8">
        <f t="shared" ref="M7:M28" si="5">L7/K7*100</f>
        <v>12.504872751573204</v>
      </c>
      <c r="N7" s="8">
        <v>0</v>
      </c>
      <c r="O7" s="8">
        <v>0</v>
      </c>
      <c r="P7" s="8">
        <v>0</v>
      </c>
      <c r="Q7" s="20">
        <v>32476.7</v>
      </c>
      <c r="R7" s="8">
        <v>4886.8999999999996</v>
      </c>
      <c r="S7" s="8">
        <f>R7/Q7*100</f>
        <v>15.047403215228147</v>
      </c>
      <c r="T7" s="20">
        <v>68872.2</v>
      </c>
      <c r="U7" s="8">
        <v>22205.1</v>
      </c>
      <c r="V7" s="8">
        <f t="shared" ref="V7:V9" si="6">U7/T7*100</f>
        <v>32.241020324601216</v>
      </c>
      <c r="W7" s="20">
        <v>505.9</v>
      </c>
      <c r="X7" s="8">
        <v>0</v>
      </c>
      <c r="Y7" s="8">
        <f t="shared" ref="Y7:Y28" si="7">X7/W7*100</f>
        <v>0</v>
      </c>
      <c r="Z7" s="20">
        <v>0</v>
      </c>
      <c r="AA7" s="8">
        <v>0</v>
      </c>
      <c r="AB7" s="8">
        <v>0</v>
      </c>
      <c r="AC7" s="20">
        <f>361.2+26000</f>
        <v>26361.200000000001</v>
      </c>
      <c r="AD7" s="8">
        <v>0</v>
      </c>
      <c r="AE7" s="8">
        <v>0</v>
      </c>
      <c r="AF7" s="20">
        <v>1492.5</v>
      </c>
      <c r="AG7" s="8">
        <v>0</v>
      </c>
      <c r="AH7" s="8">
        <v>0</v>
      </c>
      <c r="AI7" s="20">
        <v>45586.7</v>
      </c>
      <c r="AJ7" s="28">
        <v>16652.7</v>
      </c>
      <c r="AK7" s="8">
        <f t="shared" ref="AK7:AK28" si="8">AJ7/AI7*100</f>
        <v>36.529733452958872</v>
      </c>
      <c r="AL7" s="20">
        <v>1816.2</v>
      </c>
      <c r="AM7" s="20">
        <v>1816.2</v>
      </c>
      <c r="AN7" s="8">
        <f>AM7/AL7*100</f>
        <v>100</v>
      </c>
      <c r="AO7" s="8" t="s">
        <v>1</v>
      </c>
      <c r="AP7" s="8">
        <v>0</v>
      </c>
      <c r="AQ7" s="8">
        <f t="shared" ref="AQ7:AQ27" si="9">AP7-AO7</f>
        <v>0</v>
      </c>
      <c r="AR7" s="9">
        <v>97768</v>
      </c>
      <c r="AS7" s="9">
        <f>5666.6+520.6</f>
        <v>6187.2000000000007</v>
      </c>
      <c r="AT7" s="8">
        <f t="shared" si="0"/>
        <v>6.3284510269208738</v>
      </c>
      <c r="AU7" s="20">
        <v>6458.5</v>
      </c>
      <c r="AV7" s="27">
        <v>3400</v>
      </c>
      <c r="AW7" s="8">
        <f t="shared" ref="AW7:AW28" si="10">AV7/AU7*100</f>
        <v>52.643802740574444</v>
      </c>
      <c r="AX7" s="27">
        <f>305495+18178.1</f>
        <v>323673.09999999998</v>
      </c>
      <c r="AY7" s="28">
        <v>231380.9</v>
      </c>
      <c r="AZ7" s="8">
        <f t="shared" ref="AZ7:AZ28" si="11">AY7/AX7*100</f>
        <v>71.485983852226227</v>
      </c>
      <c r="BA7" s="8">
        <v>0</v>
      </c>
      <c r="BB7" s="8">
        <v>0</v>
      </c>
      <c r="BC7" s="8">
        <v>0</v>
      </c>
      <c r="BD7" s="8">
        <v>3890.7</v>
      </c>
      <c r="BE7" s="8">
        <v>1144.0999999999999</v>
      </c>
      <c r="BF7" s="8">
        <f t="shared" ref="BF7:BF28" si="12">BE7/BD7*100</f>
        <v>29.406019482355362</v>
      </c>
      <c r="BG7" s="21">
        <v>1942.8</v>
      </c>
      <c r="BH7" s="21">
        <v>0</v>
      </c>
      <c r="BI7" s="8">
        <v>0</v>
      </c>
      <c r="BJ7" s="9">
        <v>10000</v>
      </c>
      <c r="BK7" s="9">
        <v>133.69999999999999</v>
      </c>
      <c r="BL7" s="8">
        <f t="shared" ref="BL7:BL28" si="13">BK7/BJ7*100</f>
        <v>1.3369999999999997</v>
      </c>
      <c r="BM7" s="25">
        <v>9800.7000000000007</v>
      </c>
      <c r="BN7" s="9">
        <v>0</v>
      </c>
      <c r="BO7" s="8">
        <f>BN7/BM7*100</f>
        <v>0</v>
      </c>
      <c r="BP7" s="9">
        <v>0</v>
      </c>
      <c r="BQ7" s="9">
        <v>0</v>
      </c>
      <c r="BR7" s="8">
        <v>0</v>
      </c>
      <c r="BS7" s="8">
        <v>0</v>
      </c>
      <c r="BT7" s="8">
        <v>0</v>
      </c>
      <c r="BU7" s="8">
        <v>0</v>
      </c>
    </row>
    <row r="8" spans="1:73" s="2" customFormat="1" ht="15.6" x14ac:dyDescent="0.3">
      <c r="A8" s="11" t="s">
        <v>40</v>
      </c>
      <c r="B8" s="8">
        <f t="shared" si="1"/>
        <v>1191387.3999999999</v>
      </c>
      <c r="C8" s="8">
        <f t="shared" si="2"/>
        <v>231502.80000000002</v>
      </c>
      <c r="D8" s="8">
        <f t="shared" si="3"/>
        <v>19.431362124528096</v>
      </c>
      <c r="E8" s="26">
        <v>36870.9</v>
      </c>
      <c r="F8" s="8">
        <v>0</v>
      </c>
      <c r="G8" s="8">
        <f t="shared" ref="G8:G28" si="14">F8/E8*100</f>
        <v>0</v>
      </c>
      <c r="H8" s="9">
        <v>946</v>
      </c>
      <c r="I8" s="9">
        <v>890.9</v>
      </c>
      <c r="J8" s="8">
        <f t="shared" si="4"/>
        <v>94.175475687103599</v>
      </c>
      <c r="K8" s="20">
        <f>26944.4+3745.4</f>
        <v>30689.800000000003</v>
      </c>
      <c r="L8" s="8">
        <f>13929.7+0</f>
        <v>13929.7</v>
      </c>
      <c r="M8" s="8">
        <f t="shared" si="5"/>
        <v>45.38869591851364</v>
      </c>
      <c r="N8" s="8">
        <v>0</v>
      </c>
      <c r="O8" s="8">
        <v>0</v>
      </c>
      <c r="P8" s="8">
        <v>0</v>
      </c>
      <c r="Q8" s="20">
        <v>77690.3</v>
      </c>
      <c r="R8" s="8">
        <v>5460</v>
      </c>
      <c r="S8" s="8">
        <f t="shared" ref="S8:S28" si="15">R8/Q8*100</f>
        <v>7.0279043844598359</v>
      </c>
      <c r="T8" s="20">
        <v>7060</v>
      </c>
      <c r="U8" s="8">
        <v>0</v>
      </c>
      <c r="V8" s="8">
        <f t="shared" si="6"/>
        <v>0</v>
      </c>
      <c r="W8" s="20">
        <v>2691.8</v>
      </c>
      <c r="X8" s="8">
        <v>0</v>
      </c>
      <c r="Y8" s="8">
        <f t="shared" si="7"/>
        <v>0</v>
      </c>
      <c r="Z8" s="20">
        <v>0</v>
      </c>
      <c r="AA8" s="8">
        <v>0</v>
      </c>
      <c r="AB8" s="8">
        <v>0</v>
      </c>
      <c r="AC8" s="20">
        <f>821.5+(86956.6+6000)</f>
        <v>93778.1</v>
      </c>
      <c r="AD8" s="8">
        <f>701.5+14018.9</f>
        <v>14720.4</v>
      </c>
      <c r="AE8" s="8">
        <f t="shared" ref="AE8:AE28" si="16">AD8/AC8*100</f>
        <v>15.697055069360541</v>
      </c>
      <c r="AF8" s="20">
        <v>11213.8</v>
      </c>
      <c r="AG8" s="20">
        <v>0</v>
      </c>
      <c r="AH8" s="8">
        <f t="shared" ref="AH8:AH28" si="17">AG8/AF8*100</f>
        <v>0</v>
      </c>
      <c r="AI8" s="20">
        <v>27130.3</v>
      </c>
      <c r="AJ8" s="28">
        <v>17961.400000000001</v>
      </c>
      <c r="AK8" s="8">
        <f t="shared" si="8"/>
        <v>66.204207104234015</v>
      </c>
      <c r="AL8" s="20">
        <v>7446.6</v>
      </c>
      <c r="AM8" s="20">
        <v>2530.4</v>
      </c>
      <c r="AN8" s="8">
        <f t="shared" ref="AN8:AN26" si="18">AM8/AL8*100</f>
        <v>33.980608599897941</v>
      </c>
      <c r="AO8" s="8" t="s">
        <v>1</v>
      </c>
      <c r="AP8" s="8">
        <v>0</v>
      </c>
      <c r="AQ8" s="8">
        <f t="shared" si="9"/>
        <v>0</v>
      </c>
      <c r="AR8" s="9">
        <f>4855.1+12740.7+18855+28000</f>
        <v>64450.8</v>
      </c>
      <c r="AS8" s="9">
        <f>16299.9+6231.7</f>
        <v>22531.599999999999</v>
      </c>
      <c r="AT8" s="8">
        <f>AS8/AR8*100</f>
        <v>34.959379868054384</v>
      </c>
      <c r="AU8" s="20">
        <v>12302.5</v>
      </c>
      <c r="AV8" s="27">
        <v>10146.299999999999</v>
      </c>
      <c r="AW8" s="8">
        <f t="shared" si="10"/>
        <v>82.473480999796791</v>
      </c>
      <c r="AX8" s="27">
        <f>250260.1+62228.4</f>
        <v>312488.5</v>
      </c>
      <c r="AY8" s="28">
        <f>77729.4+56217.1</f>
        <v>133946.5</v>
      </c>
      <c r="AZ8" s="8">
        <f t="shared" si="11"/>
        <v>42.864457412032763</v>
      </c>
      <c r="BA8" s="8">
        <v>381.7</v>
      </c>
      <c r="BB8" s="8">
        <v>0</v>
      </c>
      <c r="BC8" s="8">
        <v>0</v>
      </c>
      <c r="BD8" s="8">
        <v>3771.9</v>
      </c>
      <c r="BE8" s="8">
        <v>0</v>
      </c>
      <c r="BF8" s="8">
        <f t="shared" si="12"/>
        <v>0</v>
      </c>
      <c r="BG8" s="21">
        <v>0</v>
      </c>
      <c r="BH8" s="21">
        <v>0</v>
      </c>
      <c r="BI8" s="8">
        <v>0</v>
      </c>
      <c r="BJ8" s="9">
        <v>22500</v>
      </c>
      <c r="BK8" s="9">
        <v>9385.6</v>
      </c>
      <c r="BL8" s="8">
        <f t="shared" si="13"/>
        <v>41.713777777777779</v>
      </c>
      <c r="BM8" s="25">
        <v>0</v>
      </c>
      <c r="BN8" s="9">
        <v>0</v>
      </c>
      <c r="BO8" s="8">
        <v>0</v>
      </c>
      <c r="BP8" s="9">
        <v>1020.4</v>
      </c>
      <c r="BQ8" s="9">
        <v>0</v>
      </c>
      <c r="BR8" s="8">
        <f>BQ8/BP8*100</f>
        <v>0</v>
      </c>
      <c r="BS8" s="8">
        <v>478954</v>
      </c>
      <c r="BT8" s="8">
        <v>0</v>
      </c>
      <c r="BU8" s="8">
        <f t="shared" ref="BU8:BU27" si="19">BT8/BS8*100</f>
        <v>0</v>
      </c>
    </row>
    <row r="9" spans="1:73" s="2" customFormat="1" ht="15.6" x14ac:dyDescent="0.3">
      <c r="A9" s="11" t="s">
        <v>41</v>
      </c>
      <c r="B9" s="8">
        <f t="shared" si="1"/>
        <v>2719727.9999999995</v>
      </c>
      <c r="C9" s="8">
        <f t="shared" si="2"/>
        <v>546286.19999999995</v>
      </c>
      <c r="D9" s="8">
        <f t="shared" si="3"/>
        <v>20.086060076595896</v>
      </c>
      <c r="E9" s="26">
        <f>793+(228273.3+40236.4)</f>
        <v>269302.7</v>
      </c>
      <c r="F9" s="8">
        <f>316.8+64874.1</f>
        <v>65190.9</v>
      </c>
      <c r="G9" s="8">
        <f t="shared" si="14"/>
        <v>24.207295359459817</v>
      </c>
      <c r="H9" s="9">
        <v>1204.5999999999999</v>
      </c>
      <c r="I9" s="9">
        <v>436.5</v>
      </c>
      <c r="J9" s="8">
        <f t="shared" si="4"/>
        <v>36.236094969284409</v>
      </c>
      <c r="K9" s="20">
        <f>51997.8+23096.6</f>
        <v>75094.399999999994</v>
      </c>
      <c r="L9" s="8">
        <f>36749.9+22533.9</f>
        <v>59283.8</v>
      </c>
      <c r="M9" s="8">
        <f t="shared" si="5"/>
        <v>78.945700345165562</v>
      </c>
      <c r="N9" s="8">
        <v>0</v>
      </c>
      <c r="O9" s="8">
        <v>0</v>
      </c>
      <c r="P9" s="8">
        <v>0</v>
      </c>
      <c r="Q9" s="20">
        <v>122948</v>
      </c>
      <c r="R9" s="8">
        <v>50585.599999999999</v>
      </c>
      <c r="S9" s="8">
        <f t="shared" si="15"/>
        <v>41.143898233399483</v>
      </c>
      <c r="T9" s="20">
        <v>8020</v>
      </c>
      <c r="U9" s="8">
        <v>3400</v>
      </c>
      <c r="V9" s="8">
        <f t="shared" si="6"/>
        <v>42.394014962593516</v>
      </c>
      <c r="W9" s="20">
        <f>5311.6+10449.3</f>
        <v>15760.9</v>
      </c>
      <c r="X9" s="8">
        <f>10369.3+1390.3</f>
        <v>11759.599999999999</v>
      </c>
      <c r="Y9" s="8">
        <f t="shared" si="7"/>
        <v>74.612490403466808</v>
      </c>
      <c r="Z9" s="20">
        <v>0</v>
      </c>
      <c r="AA9" s="8">
        <v>0</v>
      </c>
      <c r="AB9" s="8">
        <v>0</v>
      </c>
      <c r="AC9" s="20">
        <v>1412</v>
      </c>
      <c r="AD9" s="20">
        <v>245.5</v>
      </c>
      <c r="AE9" s="8">
        <f t="shared" si="16"/>
        <v>17.386685552407933</v>
      </c>
      <c r="AF9" s="20">
        <v>18051.7</v>
      </c>
      <c r="AG9" s="8">
        <v>5675.9</v>
      </c>
      <c r="AH9" s="8">
        <f t="shared" si="17"/>
        <v>31.44246802240232</v>
      </c>
      <c r="AI9" s="20">
        <v>48579.6</v>
      </c>
      <c r="AJ9" s="20">
        <v>48579.6</v>
      </c>
      <c r="AK9" s="8">
        <f t="shared" si="8"/>
        <v>100</v>
      </c>
      <c r="AL9" s="20">
        <v>11807.7</v>
      </c>
      <c r="AM9" s="20">
        <v>7688</v>
      </c>
      <c r="AN9" s="8">
        <f t="shared" si="18"/>
        <v>65.11005530289556</v>
      </c>
      <c r="AO9" s="8" t="s">
        <v>1</v>
      </c>
      <c r="AP9" s="8">
        <v>0</v>
      </c>
      <c r="AQ9" s="8">
        <f t="shared" si="9"/>
        <v>0</v>
      </c>
      <c r="AR9" s="9">
        <f>4806.6+12613+11115+28850</f>
        <v>57384.6</v>
      </c>
      <c r="AS9" s="9">
        <f>3960.7+0</f>
        <v>3960.7</v>
      </c>
      <c r="AT9" s="8">
        <f t="shared" ref="AT9:AT23" si="20">AS9/AR9*100</f>
        <v>6.9020259790954368</v>
      </c>
      <c r="AU9" s="20">
        <v>11502.8</v>
      </c>
      <c r="AV9" s="27">
        <v>5070</v>
      </c>
      <c r="AW9" s="8">
        <f t="shared" si="10"/>
        <v>44.076224919150128</v>
      </c>
      <c r="AX9" s="27">
        <f>(1225348.5-22015.6)+187523.4</f>
        <v>1390856.2999999998</v>
      </c>
      <c r="AY9" s="28">
        <f>279448.4</f>
        <v>279448.40000000002</v>
      </c>
      <c r="AZ9" s="8">
        <f t="shared" si="11"/>
        <v>20.091824007987029</v>
      </c>
      <c r="BA9" s="8">
        <v>0</v>
      </c>
      <c r="BB9" s="8">
        <v>0</v>
      </c>
      <c r="BC9" s="8">
        <v>0</v>
      </c>
      <c r="BD9" s="8">
        <v>6593.4</v>
      </c>
      <c r="BE9" s="8">
        <v>0</v>
      </c>
      <c r="BF9" s="8">
        <f t="shared" si="12"/>
        <v>0</v>
      </c>
      <c r="BG9" s="21">
        <v>612.5</v>
      </c>
      <c r="BH9" s="21">
        <v>0</v>
      </c>
      <c r="BI9" s="8">
        <f>BH9/BG9*100</f>
        <v>0</v>
      </c>
      <c r="BJ9" s="9">
        <v>27500</v>
      </c>
      <c r="BK9" s="9">
        <v>4961.7</v>
      </c>
      <c r="BL9" s="8">
        <f t="shared" si="13"/>
        <v>18.042545454545454</v>
      </c>
      <c r="BM9" s="25">
        <v>9565.4</v>
      </c>
      <c r="BN9" s="9">
        <v>0</v>
      </c>
      <c r="BO9" s="8">
        <f t="shared" ref="BO9:BO28" si="21">BN9/BM9*100</f>
        <v>0</v>
      </c>
      <c r="BP9" s="9">
        <v>1020.4</v>
      </c>
      <c r="BQ9" s="9">
        <v>0</v>
      </c>
      <c r="BR9" s="8">
        <f t="shared" ref="BR9:BR22" si="22">BQ9/BP9*100</f>
        <v>0</v>
      </c>
      <c r="BS9" s="8">
        <v>642511</v>
      </c>
      <c r="BT9" s="8">
        <v>0</v>
      </c>
      <c r="BU9" s="8">
        <f t="shared" si="19"/>
        <v>0</v>
      </c>
    </row>
    <row r="10" spans="1:73" s="2" customFormat="1" ht="18.600000000000001" customHeight="1" x14ac:dyDescent="0.3">
      <c r="A10" s="11" t="s">
        <v>21</v>
      </c>
      <c r="B10" s="8">
        <f t="shared" si="1"/>
        <v>857619.5</v>
      </c>
      <c r="C10" s="8">
        <f t="shared" si="2"/>
        <v>614143.89999999991</v>
      </c>
      <c r="D10" s="8">
        <f t="shared" si="3"/>
        <v>71.610300372134716</v>
      </c>
      <c r="E10" s="26">
        <v>145.5</v>
      </c>
      <c r="F10" s="8">
        <v>33.9</v>
      </c>
      <c r="G10" s="8">
        <f t="shared" si="14"/>
        <v>23.298969072164947</v>
      </c>
      <c r="H10" s="9">
        <v>781.4</v>
      </c>
      <c r="I10" s="9">
        <v>400</v>
      </c>
      <c r="J10" s="8">
        <f t="shared" si="4"/>
        <v>51.190171487074487</v>
      </c>
      <c r="K10" s="20">
        <v>30044.9</v>
      </c>
      <c r="L10" s="8">
        <v>14689.6</v>
      </c>
      <c r="M10" s="8">
        <f t="shared" si="5"/>
        <v>48.892158070088435</v>
      </c>
      <c r="N10" s="8">
        <v>0</v>
      </c>
      <c r="O10" s="8">
        <v>0</v>
      </c>
      <c r="P10" s="8">
        <v>0</v>
      </c>
      <c r="Q10" s="20">
        <v>50602.6</v>
      </c>
      <c r="R10" s="8">
        <v>19664.7</v>
      </c>
      <c r="S10" s="8">
        <f t="shared" si="15"/>
        <v>38.861046665586358</v>
      </c>
      <c r="T10" s="20">
        <v>0</v>
      </c>
      <c r="U10" s="8">
        <v>0</v>
      </c>
      <c r="V10" s="8">
        <v>0</v>
      </c>
      <c r="W10" s="20">
        <v>40986</v>
      </c>
      <c r="X10" s="8">
        <v>9807.2999999999993</v>
      </c>
      <c r="Y10" s="8">
        <f t="shared" si="7"/>
        <v>23.928414580588491</v>
      </c>
      <c r="Z10" s="20">
        <v>0</v>
      </c>
      <c r="AA10" s="8">
        <v>0</v>
      </c>
      <c r="AB10" s="8">
        <v>0</v>
      </c>
      <c r="AC10" s="20">
        <v>496.2</v>
      </c>
      <c r="AD10" s="20">
        <v>295.10000000000002</v>
      </c>
      <c r="AE10" s="8">
        <f t="shared" si="16"/>
        <v>59.471987101975024</v>
      </c>
      <c r="AF10" s="20">
        <v>9584</v>
      </c>
      <c r="AG10" s="8">
        <v>1480.1</v>
      </c>
      <c r="AH10" s="8">
        <f t="shared" si="17"/>
        <v>15.443447412353922</v>
      </c>
      <c r="AI10" s="20">
        <v>59373.599999999999</v>
      </c>
      <c r="AJ10" s="28">
        <v>44342.6</v>
      </c>
      <c r="AK10" s="8">
        <f t="shared" si="8"/>
        <v>74.684034655132919</v>
      </c>
      <c r="AL10" s="20">
        <v>9118.1</v>
      </c>
      <c r="AM10" s="20">
        <v>6516.6</v>
      </c>
      <c r="AN10" s="8">
        <f t="shared" si="18"/>
        <v>71.468836709402183</v>
      </c>
      <c r="AO10" s="8" t="s">
        <v>1</v>
      </c>
      <c r="AP10" s="8">
        <v>0</v>
      </c>
      <c r="AQ10" s="8">
        <f t="shared" si="9"/>
        <v>0</v>
      </c>
      <c r="AR10" s="9">
        <f>5130.5+13463.5+3948+14000</f>
        <v>36542</v>
      </c>
      <c r="AS10" s="9">
        <f>3948+6504.6+2292</f>
        <v>12744.6</v>
      </c>
      <c r="AT10" s="8">
        <f t="shared" si="20"/>
        <v>34.876580373269114</v>
      </c>
      <c r="AU10" s="20">
        <v>4817.7</v>
      </c>
      <c r="AV10" s="27">
        <v>1263.5</v>
      </c>
      <c r="AW10" s="8">
        <f t="shared" si="10"/>
        <v>26.22620752641302</v>
      </c>
      <c r="AX10" s="27">
        <f>161745.2+203089.2+165444.1+18056.6+40000</f>
        <v>588335.1</v>
      </c>
      <c r="AY10" s="28">
        <f>158664.3+174093.9+(145733.8+6565.4)+10429.1+0</f>
        <v>495486.49999999988</v>
      </c>
      <c r="AZ10" s="8">
        <f t="shared" si="11"/>
        <v>84.21841566141471</v>
      </c>
      <c r="BA10" s="8">
        <v>0</v>
      </c>
      <c r="BB10" s="8">
        <v>0</v>
      </c>
      <c r="BC10" s="8">
        <v>0</v>
      </c>
      <c r="BD10" s="8">
        <v>3207.6</v>
      </c>
      <c r="BE10" s="8">
        <v>3186.2</v>
      </c>
      <c r="BF10" s="8">
        <f t="shared" si="12"/>
        <v>99.332834518019695</v>
      </c>
      <c r="BG10" s="21">
        <v>0</v>
      </c>
      <c r="BH10" s="21">
        <v>0</v>
      </c>
      <c r="BI10" s="8">
        <v>0</v>
      </c>
      <c r="BJ10" s="9">
        <v>10000</v>
      </c>
      <c r="BK10" s="9">
        <v>629.29999999999995</v>
      </c>
      <c r="BL10" s="8">
        <f t="shared" si="13"/>
        <v>6.2930000000000001</v>
      </c>
      <c r="BM10" s="25">
        <v>13584.8</v>
      </c>
      <c r="BN10" s="9">
        <v>3603.9</v>
      </c>
      <c r="BO10" s="8">
        <f t="shared" si="21"/>
        <v>26.528914669336316</v>
      </c>
      <c r="BP10" s="9">
        <v>0</v>
      </c>
      <c r="BQ10" s="9">
        <v>0</v>
      </c>
      <c r="BR10" s="8">
        <v>0</v>
      </c>
      <c r="BS10" s="8">
        <v>0</v>
      </c>
      <c r="BT10" s="8">
        <v>0</v>
      </c>
      <c r="BU10" s="8">
        <v>0</v>
      </c>
    </row>
    <row r="11" spans="1:73" s="2" customFormat="1" ht="18" customHeight="1" x14ac:dyDescent="0.3">
      <c r="A11" s="11" t="s">
        <v>2</v>
      </c>
      <c r="B11" s="8">
        <f t="shared" si="1"/>
        <v>1713303.2000000002</v>
      </c>
      <c r="C11" s="8">
        <f t="shared" si="2"/>
        <v>593745.6</v>
      </c>
      <c r="D11" s="8">
        <f t="shared" si="3"/>
        <v>34.655021948245931</v>
      </c>
      <c r="E11" s="26">
        <f>754.4+(160267.5+4909.5)+(6937.6+983.4)</f>
        <v>173852.4</v>
      </c>
      <c r="F11" s="8">
        <f>192.5+328.9</f>
        <v>521.4</v>
      </c>
      <c r="G11" s="8">
        <f t="shared" si="14"/>
        <v>0.29990957847001248</v>
      </c>
      <c r="H11" s="9">
        <v>1076.2</v>
      </c>
      <c r="I11" s="9">
        <v>0</v>
      </c>
      <c r="J11" s="8">
        <f t="shared" si="4"/>
        <v>0</v>
      </c>
      <c r="K11" s="20">
        <f>343201.3+48000</f>
        <v>391201.3</v>
      </c>
      <c r="L11" s="8">
        <f>179156.3+120301.9</f>
        <v>299458.19999999995</v>
      </c>
      <c r="M11" s="8">
        <f t="shared" si="5"/>
        <v>76.548365253387445</v>
      </c>
      <c r="N11" s="8">
        <v>0</v>
      </c>
      <c r="O11" s="8">
        <v>0</v>
      </c>
      <c r="P11" s="8">
        <v>0</v>
      </c>
      <c r="Q11" s="20">
        <v>102400.7</v>
      </c>
      <c r="R11" s="8">
        <v>2909</v>
      </c>
      <c r="S11" s="8">
        <f t="shared" si="15"/>
        <v>2.8408008929626458</v>
      </c>
      <c r="T11" s="20">
        <v>0</v>
      </c>
      <c r="U11" s="8">
        <v>0</v>
      </c>
      <c r="V11" s="8">
        <v>0</v>
      </c>
      <c r="W11" s="20">
        <f>4471.8+49299.2</f>
        <v>53771</v>
      </c>
      <c r="X11" s="8">
        <v>0</v>
      </c>
      <c r="Y11" s="8">
        <f t="shared" si="7"/>
        <v>0</v>
      </c>
      <c r="Z11" s="20">
        <v>0</v>
      </c>
      <c r="AA11" s="8">
        <v>0</v>
      </c>
      <c r="AB11" s="8">
        <v>0</v>
      </c>
      <c r="AC11" s="20">
        <v>907</v>
      </c>
      <c r="AD11" s="20">
        <v>276</v>
      </c>
      <c r="AE11" s="8">
        <f t="shared" si="16"/>
        <v>30.429988974641674</v>
      </c>
      <c r="AF11" s="20">
        <v>0</v>
      </c>
      <c r="AG11" s="8">
        <v>0</v>
      </c>
      <c r="AH11" s="8">
        <v>0</v>
      </c>
      <c r="AI11" s="20">
        <v>53565.5</v>
      </c>
      <c r="AJ11" s="27">
        <v>27096.3</v>
      </c>
      <c r="AK11" s="8">
        <f t="shared" si="8"/>
        <v>50.585358112964499</v>
      </c>
      <c r="AL11" s="20">
        <v>7809.8</v>
      </c>
      <c r="AM11" s="20">
        <v>7809.8</v>
      </c>
      <c r="AN11" s="8">
        <f t="shared" si="18"/>
        <v>100</v>
      </c>
      <c r="AO11" s="8" t="s">
        <v>1</v>
      </c>
      <c r="AP11" s="8">
        <v>0</v>
      </c>
      <c r="AQ11" s="8">
        <f t="shared" si="9"/>
        <v>0</v>
      </c>
      <c r="AR11" s="9">
        <f>8277.8+21722.2+18549+24000</f>
        <v>72549</v>
      </c>
      <c r="AS11" s="9">
        <f>6434.7+5223.9+7560</f>
        <v>19218.599999999999</v>
      </c>
      <c r="AT11" s="8">
        <f t="shared" si="20"/>
        <v>26.490509862299959</v>
      </c>
      <c r="AU11" s="20">
        <v>15177.2</v>
      </c>
      <c r="AV11" s="27">
        <v>1623</v>
      </c>
      <c r="AW11" s="8">
        <f t="shared" si="10"/>
        <v>10.693672087077985</v>
      </c>
      <c r="AX11" s="27">
        <f>368493.6+63581.1+229205.9+155393.9</f>
        <v>816674.5</v>
      </c>
      <c r="AY11" s="28">
        <f>137295.1+93081.4+0</f>
        <v>230376.5</v>
      </c>
      <c r="AZ11" s="8">
        <f t="shared" si="11"/>
        <v>28.209096769888127</v>
      </c>
      <c r="BA11" s="8">
        <v>0</v>
      </c>
      <c r="BB11" s="8">
        <v>0</v>
      </c>
      <c r="BC11" s="8">
        <v>0</v>
      </c>
      <c r="BD11" s="8">
        <v>5643</v>
      </c>
      <c r="BE11" s="8">
        <v>0</v>
      </c>
      <c r="BF11" s="8">
        <f t="shared" si="12"/>
        <v>0</v>
      </c>
      <c r="BG11" s="21">
        <v>2519</v>
      </c>
      <c r="BH11" s="21">
        <v>0</v>
      </c>
      <c r="BI11" s="8">
        <v>0</v>
      </c>
      <c r="BJ11" s="9">
        <v>12500</v>
      </c>
      <c r="BK11" s="9">
        <v>4456.8</v>
      </c>
      <c r="BL11" s="8">
        <f t="shared" si="13"/>
        <v>35.654400000000003</v>
      </c>
      <c r="BM11" s="25">
        <v>3656.6</v>
      </c>
      <c r="BN11" s="9">
        <v>0</v>
      </c>
      <c r="BO11" s="8">
        <f t="shared" si="21"/>
        <v>0</v>
      </c>
      <c r="BP11" s="9">
        <v>0</v>
      </c>
      <c r="BQ11" s="9">
        <v>0</v>
      </c>
      <c r="BR11" s="8">
        <v>0</v>
      </c>
      <c r="BS11" s="8">
        <v>0</v>
      </c>
      <c r="BT11" s="8">
        <v>0</v>
      </c>
      <c r="BU11" s="8">
        <v>0</v>
      </c>
    </row>
    <row r="12" spans="1:73" s="2" customFormat="1" ht="18.600000000000001" customHeight="1" x14ac:dyDescent="0.3">
      <c r="A12" s="11" t="s">
        <v>3</v>
      </c>
      <c r="B12" s="8">
        <f t="shared" si="1"/>
        <v>699181</v>
      </c>
      <c r="C12" s="8">
        <f t="shared" si="2"/>
        <v>404616.6</v>
      </c>
      <c r="D12" s="8">
        <f t="shared" si="3"/>
        <v>57.870079421494566</v>
      </c>
      <c r="E12" s="26">
        <f>10492.3+(22205.6+4279.7)</f>
        <v>36977.599999999999</v>
      </c>
      <c r="F12" s="8">
        <v>0</v>
      </c>
      <c r="G12" s="8">
        <f t="shared" si="14"/>
        <v>0</v>
      </c>
      <c r="H12" s="9">
        <v>1002.7</v>
      </c>
      <c r="I12" s="9">
        <v>89.9</v>
      </c>
      <c r="J12" s="8">
        <f t="shared" si="4"/>
        <v>8.9657923606263097</v>
      </c>
      <c r="K12" s="20">
        <v>34791</v>
      </c>
      <c r="L12" s="8">
        <v>21584.6</v>
      </c>
      <c r="M12" s="8">
        <f t="shared" si="5"/>
        <v>62.040757667212773</v>
      </c>
      <c r="N12" s="8">
        <v>0</v>
      </c>
      <c r="O12" s="8">
        <v>0</v>
      </c>
      <c r="P12" s="8">
        <v>0</v>
      </c>
      <c r="Q12" s="20">
        <v>65455.8</v>
      </c>
      <c r="R12" s="8">
        <v>24324.799999999999</v>
      </c>
      <c r="S12" s="8">
        <f t="shared" si="15"/>
        <v>37.162176613837126</v>
      </c>
      <c r="T12" s="20">
        <v>0</v>
      </c>
      <c r="U12" s="8">
        <v>0</v>
      </c>
      <c r="V12" s="8">
        <v>0</v>
      </c>
      <c r="W12" s="20">
        <v>26553.3</v>
      </c>
      <c r="X12" s="8">
        <v>355.4</v>
      </c>
      <c r="Y12" s="8">
        <f t="shared" si="7"/>
        <v>1.3384400432337975</v>
      </c>
      <c r="Z12" s="20">
        <v>0</v>
      </c>
      <c r="AA12" s="8">
        <v>0</v>
      </c>
      <c r="AB12" s="8">
        <v>0</v>
      </c>
      <c r="AC12" s="20">
        <v>747.7</v>
      </c>
      <c r="AD12" s="20">
        <v>515.6</v>
      </c>
      <c r="AE12" s="8">
        <f t="shared" si="16"/>
        <v>68.958138290758313</v>
      </c>
      <c r="AF12" s="20">
        <v>742.5</v>
      </c>
      <c r="AG12" s="8">
        <v>742.5</v>
      </c>
      <c r="AH12" s="8">
        <f t="shared" si="17"/>
        <v>100</v>
      </c>
      <c r="AI12" s="20">
        <v>62832.5</v>
      </c>
      <c r="AJ12" s="27">
        <v>33737.4</v>
      </c>
      <c r="AK12" s="8">
        <f t="shared" si="8"/>
        <v>53.694186925556039</v>
      </c>
      <c r="AL12" s="20">
        <v>3269.2</v>
      </c>
      <c r="AM12" s="20">
        <v>0</v>
      </c>
      <c r="AN12" s="8">
        <f t="shared" si="18"/>
        <v>0</v>
      </c>
      <c r="AO12" s="8" t="s">
        <v>1</v>
      </c>
      <c r="AP12" s="8">
        <v>0</v>
      </c>
      <c r="AQ12" s="8">
        <f t="shared" si="9"/>
        <v>0</v>
      </c>
      <c r="AR12" s="9">
        <v>21000</v>
      </c>
      <c r="AS12" s="9">
        <v>0</v>
      </c>
      <c r="AT12" s="8">
        <f t="shared" si="20"/>
        <v>0</v>
      </c>
      <c r="AU12" s="20">
        <v>18926.5</v>
      </c>
      <c r="AV12" s="27">
        <v>6706.6</v>
      </c>
      <c r="AW12" s="8">
        <f t="shared" si="10"/>
        <v>35.434972129025446</v>
      </c>
      <c r="AX12" s="27">
        <f>485904.4-107594.5</f>
        <v>378309.9</v>
      </c>
      <c r="AY12" s="28">
        <v>316559.8</v>
      </c>
      <c r="AZ12" s="8">
        <f t="shared" si="11"/>
        <v>83.67737666923334</v>
      </c>
      <c r="BA12" s="8">
        <v>0</v>
      </c>
      <c r="BB12" s="8">
        <v>0</v>
      </c>
      <c r="BC12" s="8">
        <v>0</v>
      </c>
      <c r="BD12" s="8">
        <v>6029.1</v>
      </c>
      <c r="BE12" s="8">
        <v>0</v>
      </c>
      <c r="BF12" s="8">
        <f t="shared" si="12"/>
        <v>0</v>
      </c>
      <c r="BG12" s="21">
        <v>4919.5</v>
      </c>
      <c r="BH12" s="21">
        <v>0</v>
      </c>
      <c r="BI12" s="8">
        <v>0</v>
      </c>
      <c r="BJ12" s="9">
        <v>25000</v>
      </c>
      <c r="BK12" s="9">
        <v>0</v>
      </c>
      <c r="BL12" s="8">
        <f t="shared" si="13"/>
        <v>0</v>
      </c>
      <c r="BM12" s="25">
        <v>11603.4</v>
      </c>
      <c r="BN12" s="9">
        <v>0</v>
      </c>
      <c r="BO12" s="8">
        <f t="shared" si="21"/>
        <v>0</v>
      </c>
      <c r="BP12" s="9">
        <v>1020.3</v>
      </c>
      <c r="BQ12" s="9">
        <v>0</v>
      </c>
      <c r="BR12" s="8">
        <f t="shared" si="22"/>
        <v>0</v>
      </c>
      <c r="BS12" s="8">
        <v>0</v>
      </c>
      <c r="BT12" s="8">
        <v>0</v>
      </c>
      <c r="BU12" s="8">
        <v>0</v>
      </c>
    </row>
    <row r="13" spans="1:73" s="2" customFormat="1" ht="18.600000000000001" customHeight="1" x14ac:dyDescent="0.3">
      <c r="A13" s="11" t="s">
        <v>22</v>
      </c>
      <c r="B13" s="8">
        <f t="shared" si="1"/>
        <v>1270154.7</v>
      </c>
      <c r="C13" s="8">
        <f t="shared" si="2"/>
        <v>351173.29999999993</v>
      </c>
      <c r="D13" s="8">
        <f t="shared" si="3"/>
        <v>27.648073104795813</v>
      </c>
      <c r="E13" s="26">
        <f>48938.7+(46756.6+3873.9)</f>
        <v>99569.2</v>
      </c>
      <c r="F13" s="8">
        <f>67.9+8868.2</f>
        <v>8936.1</v>
      </c>
      <c r="G13" s="8">
        <f t="shared" si="14"/>
        <v>8.9747632802111497</v>
      </c>
      <c r="H13" s="9">
        <v>797.2</v>
      </c>
      <c r="I13" s="9">
        <v>15.3</v>
      </c>
      <c r="J13" s="8">
        <f t="shared" si="4"/>
        <v>1.9192172604114401</v>
      </c>
      <c r="K13" s="20">
        <v>83796.800000000003</v>
      </c>
      <c r="L13" s="8">
        <f>30364.6+15274.8+10354.1+1832.7</f>
        <v>57826.19999999999</v>
      </c>
      <c r="M13" s="8">
        <f t="shared" si="5"/>
        <v>69.007647070055171</v>
      </c>
      <c r="N13" s="8">
        <v>0</v>
      </c>
      <c r="O13" s="8">
        <v>0</v>
      </c>
      <c r="P13" s="8">
        <v>0</v>
      </c>
      <c r="Q13" s="20">
        <v>53318.9</v>
      </c>
      <c r="R13" s="8">
        <v>20365.5</v>
      </c>
      <c r="S13" s="8">
        <f t="shared" si="15"/>
        <v>38.195649197564094</v>
      </c>
      <c r="T13" s="20">
        <v>0</v>
      </c>
      <c r="U13" s="8">
        <v>0</v>
      </c>
      <c r="V13" s="8">
        <v>0</v>
      </c>
      <c r="W13" s="20">
        <v>4952.3999999999996</v>
      </c>
      <c r="X13" s="8">
        <v>2429.1</v>
      </c>
      <c r="Y13" s="8">
        <f t="shared" si="7"/>
        <v>49.048945965592445</v>
      </c>
      <c r="Z13" s="20">
        <v>0</v>
      </c>
      <c r="AA13" s="8">
        <v>0</v>
      </c>
      <c r="AB13" s="8">
        <v>0</v>
      </c>
      <c r="AC13" s="20">
        <v>578.5</v>
      </c>
      <c r="AD13" s="20">
        <v>287.5</v>
      </c>
      <c r="AE13" s="8">
        <f t="shared" si="16"/>
        <v>49.697493517718236</v>
      </c>
      <c r="AF13" s="20">
        <f>9510-8910</f>
        <v>600</v>
      </c>
      <c r="AG13" s="8">
        <v>0</v>
      </c>
      <c r="AH13" s="8">
        <f t="shared" si="17"/>
        <v>0</v>
      </c>
      <c r="AI13" s="20">
        <v>57769.3</v>
      </c>
      <c r="AJ13" s="28">
        <v>25607.599999999999</v>
      </c>
      <c r="AK13" s="8">
        <f t="shared" si="8"/>
        <v>44.32735034005951</v>
      </c>
      <c r="AL13" s="20">
        <v>4906</v>
      </c>
      <c r="AM13" s="20">
        <v>2906</v>
      </c>
      <c r="AN13" s="8">
        <f t="shared" si="18"/>
        <v>59.233591520587034</v>
      </c>
      <c r="AO13" s="8" t="s">
        <v>1</v>
      </c>
      <c r="AP13" s="8">
        <v>0</v>
      </c>
      <c r="AQ13" s="8">
        <f t="shared" si="9"/>
        <v>0</v>
      </c>
      <c r="AR13" s="9">
        <f>2427.6+6370.3+36251+21000</f>
        <v>66048.899999999994</v>
      </c>
      <c r="AS13" s="9">
        <f>2427.6+2135.2+6253.7+3750.9</f>
        <v>14567.4</v>
      </c>
      <c r="AT13" s="8">
        <f t="shared" si="20"/>
        <v>22.055477078346499</v>
      </c>
      <c r="AU13" s="20">
        <v>14524.5</v>
      </c>
      <c r="AV13" s="27">
        <v>13049.8</v>
      </c>
      <c r="AW13" s="8">
        <f t="shared" si="10"/>
        <v>89.846810561465105</v>
      </c>
      <c r="AX13" s="27">
        <f>234932.8+494619.1+72714.3+48467.5</f>
        <v>850733.7</v>
      </c>
      <c r="AY13" s="28">
        <v>203631.8</v>
      </c>
      <c r="AZ13" s="8">
        <f t="shared" si="11"/>
        <v>23.936021342518814</v>
      </c>
      <c r="BA13" s="8">
        <v>0</v>
      </c>
      <c r="BB13" s="8">
        <v>0</v>
      </c>
      <c r="BC13" s="8">
        <v>0</v>
      </c>
      <c r="BD13" s="8">
        <v>3237.3</v>
      </c>
      <c r="BE13" s="8">
        <v>964.9</v>
      </c>
      <c r="BF13" s="8">
        <f t="shared" si="12"/>
        <v>29.8057022827665</v>
      </c>
      <c r="BG13" s="21">
        <v>1439</v>
      </c>
      <c r="BH13" s="21">
        <v>0</v>
      </c>
      <c r="BI13" s="8">
        <f t="shared" ref="BI13:BI17" si="23">BH13/BG13*100</f>
        <v>0</v>
      </c>
      <c r="BJ13" s="9">
        <v>22500</v>
      </c>
      <c r="BK13" s="9">
        <v>586.1</v>
      </c>
      <c r="BL13" s="8">
        <f t="shared" si="13"/>
        <v>2.604888888888889</v>
      </c>
      <c r="BM13" s="25">
        <v>5383</v>
      </c>
      <c r="BN13" s="9">
        <v>0</v>
      </c>
      <c r="BO13" s="8">
        <f t="shared" si="21"/>
        <v>0</v>
      </c>
      <c r="BP13" s="9">
        <v>0</v>
      </c>
      <c r="BQ13" s="9">
        <v>0</v>
      </c>
      <c r="BR13" s="8">
        <v>0</v>
      </c>
      <c r="BS13" s="8">
        <v>0</v>
      </c>
      <c r="BT13" s="8">
        <v>0</v>
      </c>
      <c r="BU13" s="8">
        <v>0</v>
      </c>
    </row>
    <row r="14" spans="1:73" s="2" customFormat="1" ht="15.6" x14ac:dyDescent="0.3">
      <c r="A14" s="11" t="s">
        <v>53</v>
      </c>
      <c r="B14" s="8">
        <f t="shared" si="1"/>
        <v>1497126.9</v>
      </c>
      <c r="C14" s="8">
        <f t="shared" si="2"/>
        <v>655067.30000000005</v>
      </c>
      <c r="D14" s="8">
        <f t="shared" si="3"/>
        <v>43.754961586756615</v>
      </c>
      <c r="E14" s="26">
        <f>422.6+(46042.3+12838.6)</f>
        <v>59303.5</v>
      </c>
      <c r="F14" s="8">
        <f>135.7+4657.7</f>
        <v>4793.3999999999996</v>
      </c>
      <c r="G14" s="8">
        <f t="shared" si="14"/>
        <v>8.0828281635991122</v>
      </c>
      <c r="H14" s="9">
        <v>1656.7</v>
      </c>
      <c r="I14" s="9">
        <v>0</v>
      </c>
      <c r="J14" s="8">
        <f t="shared" si="4"/>
        <v>0</v>
      </c>
      <c r="K14" s="20">
        <f>132145.3+127386.1</f>
        <v>259531.4</v>
      </c>
      <c r="L14" s="8">
        <v>246952.6</v>
      </c>
      <c r="M14" s="8">
        <f t="shared" si="5"/>
        <v>95.153264691671225</v>
      </c>
      <c r="N14" s="8">
        <v>0</v>
      </c>
      <c r="O14" s="8">
        <v>0</v>
      </c>
      <c r="P14" s="8">
        <v>0</v>
      </c>
      <c r="Q14" s="20">
        <v>111591.5</v>
      </c>
      <c r="R14" s="8">
        <v>45234.3</v>
      </c>
      <c r="S14" s="8">
        <f t="shared" si="15"/>
        <v>40.535614271696325</v>
      </c>
      <c r="T14" s="20">
        <v>5050</v>
      </c>
      <c r="U14" s="8">
        <v>0</v>
      </c>
      <c r="V14" s="8">
        <v>0</v>
      </c>
      <c r="W14" s="20">
        <f>24589.8+22369.1</f>
        <v>46958.899999999994</v>
      </c>
      <c r="X14" s="8">
        <v>296.2</v>
      </c>
      <c r="Y14" s="8">
        <f t="shared" si="7"/>
        <v>0.63076434925008895</v>
      </c>
      <c r="Z14" s="20">
        <v>0</v>
      </c>
      <c r="AA14" s="8">
        <v>0</v>
      </c>
      <c r="AB14" s="8">
        <v>0</v>
      </c>
      <c r="AC14" s="20">
        <v>1233.7</v>
      </c>
      <c r="AD14" s="20">
        <v>441</v>
      </c>
      <c r="AE14" s="8">
        <f t="shared" si="16"/>
        <v>35.746129529058926</v>
      </c>
      <c r="AF14" s="20">
        <v>11069</v>
      </c>
      <c r="AG14" s="8">
        <v>0</v>
      </c>
      <c r="AH14" s="8">
        <f t="shared" si="17"/>
        <v>0</v>
      </c>
      <c r="AI14" s="20">
        <v>32448.1</v>
      </c>
      <c r="AJ14" s="28">
        <v>28613.200000000001</v>
      </c>
      <c r="AK14" s="8">
        <f t="shared" si="8"/>
        <v>88.181434352088417</v>
      </c>
      <c r="AL14" s="20">
        <v>9309.7999999999993</v>
      </c>
      <c r="AM14" s="20">
        <v>3229.6</v>
      </c>
      <c r="AN14" s="8">
        <f t="shared" si="18"/>
        <v>34.690326322799628</v>
      </c>
      <c r="AO14" s="8" t="s">
        <v>1</v>
      </c>
      <c r="AP14" s="8">
        <v>0</v>
      </c>
      <c r="AQ14" s="8">
        <f t="shared" si="9"/>
        <v>0</v>
      </c>
      <c r="AR14" s="9">
        <f>8912.9+23388.6+69310+35000</f>
        <v>136611.5</v>
      </c>
      <c r="AS14" s="9">
        <v>10215.299999999999</v>
      </c>
      <c r="AT14" s="8">
        <f t="shared" si="20"/>
        <v>7.4776281645395875</v>
      </c>
      <c r="AU14" s="20">
        <v>8772.1</v>
      </c>
      <c r="AV14" s="27">
        <v>5418</v>
      </c>
      <c r="AW14" s="8">
        <f t="shared" si="10"/>
        <v>61.764001778365497</v>
      </c>
      <c r="AX14" s="27">
        <f>204112.9+142660+100536.5+193462.7+131161.2-10000</f>
        <v>761933.3</v>
      </c>
      <c r="AY14" s="28">
        <v>296638.7</v>
      </c>
      <c r="AZ14" s="8">
        <f t="shared" si="11"/>
        <v>38.932371114374448</v>
      </c>
      <c r="BA14" s="8">
        <v>0</v>
      </c>
      <c r="BB14" s="8">
        <v>0</v>
      </c>
      <c r="BC14" s="8">
        <v>0</v>
      </c>
      <c r="BD14" s="8">
        <v>7751.7</v>
      </c>
      <c r="BE14" s="8">
        <v>4973</v>
      </c>
      <c r="BF14" s="8">
        <f t="shared" si="12"/>
        <v>64.153669517654194</v>
      </c>
      <c r="BG14" s="21">
        <v>3704.4</v>
      </c>
      <c r="BH14" s="21">
        <v>0</v>
      </c>
      <c r="BI14" s="8">
        <v>0</v>
      </c>
      <c r="BJ14" s="9">
        <v>25000</v>
      </c>
      <c r="BK14" s="9">
        <v>8262</v>
      </c>
      <c r="BL14" s="8">
        <f t="shared" si="13"/>
        <v>33.048000000000002</v>
      </c>
      <c r="BM14" s="25">
        <v>15201.3</v>
      </c>
      <c r="BN14" s="9">
        <v>0</v>
      </c>
      <c r="BO14" s="8">
        <f t="shared" si="21"/>
        <v>0</v>
      </c>
      <c r="BP14" s="9">
        <v>0</v>
      </c>
      <c r="BQ14" s="9">
        <v>0</v>
      </c>
      <c r="BR14" s="8">
        <v>0</v>
      </c>
      <c r="BS14" s="8">
        <v>0</v>
      </c>
      <c r="BT14" s="8">
        <v>0</v>
      </c>
      <c r="BU14" s="8">
        <v>0</v>
      </c>
    </row>
    <row r="15" spans="1:73" s="2" customFormat="1" ht="16.95" customHeight="1" x14ac:dyDescent="0.3">
      <c r="A15" s="11" t="s">
        <v>4</v>
      </c>
      <c r="B15" s="8">
        <f t="shared" si="1"/>
        <v>1145573.3999999999</v>
      </c>
      <c r="C15" s="8">
        <f>F15+I15+L15+O15+R15+U15+X15+AA15+AD15+AG15+AJ15+AM15+AP15+AS15+AV15+AY15+BB15+BE15+BH15+BK15+BN15+BQ15+BT15</f>
        <v>438793.5</v>
      </c>
      <c r="D15" s="8">
        <f t="shared" si="3"/>
        <v>38.303394614435007</v>
      </c>
      <c r="E15" s="26">
        <f>22138.2+(51645.2+4284.8)</f>
        <v>78068.2</v>
      </c>
      <c r="F15" s="8">
        <v>25173.5</v>
      </c>
      <c r="G15" s="8">
        <f t="shared" si="14"/>
        <v>32.245523785613095</v>
      </c>
      <c r="H15" s="9">
        <v>579.5</v>
      </c>
      <c r="I15" s="9">
        <v>0</v>
      </c>
      <c r="J15" s="8">
        <f t="shared" si="4"/>
        <v>0</v>
      </c>
      <c r="K15" s="20">
        <v>146121.29999999999</v>
      </c>
      <c r="L15" s="8">
        <v>108689.4</v>
      </c>
      <c r="M15" s="8">
        <f t="shared" si="5"/>
        <v>74.382995497576331</v>
      </c>
      <c r="N15" s="8">
        <f>277.2+2256.7</f>
        <v>2533.8999999999996</v>
      </c>
      <c r="O15" s="8">
        <v>2533.8000000000002</v>
      </c>
      <c r="P15" s="8">
        <f t="shared" ref="P15" si="24">O15/N15*100</f>
        <v>99.99605351434549</v>
      </c>
      <c r="Q15" s="20">
        <v>55631.8</v>
      </c>
      <c r="R15" s="8">
        <v>1641.4</v>
      </c>
      <c r="S15" s="8">
        <f t="shared" si="15"/>
        <v>2.9504707739098861</v>
      </c>
      <c r="T15" s="20">
        <v>6649.4</v>
      </c>
      <c r="U15" s="8">
        <v>0</v>
      </c>
      <c r="V15" s="8">
        <v>0</v>
      </c>
      <c r="W15" s="20">
        <v>0</v>
      </c>
      <c r="X15" s="8">
        <v>0</v>
      </c>
      <c r="Y15" s="8">
        <v>0</v>
      </c>
      <c r="Z15" s="20">
        <v>0</v>
      </c>
      <c r="AA15" s="8">
        <v>0</v>
      </c>
      <c r="AB15" s="8">
        <v>0</v>
      </c>
      <c r="AC15" s="20">
        <v>673.5</v>
      </c>
      <c r="AD15" s="20">
        <v>380</v>
      </c>
      <c r="AE15" s="8">
        <f t="shared" si="16"/>
        <v>56.42167780252413</v>
      </c>
      <c r="AF15" s="20">
        <v>16180</v>
      </c>
      <c r="AG15" s="20">
        <v>7626.4</v>
      </c>
      <c r="AH15" s="8">
        <f t="shared" si="17"/>
        <v>47.134734239802221</v>
      </c>
      <c r="AI15" s="20">
        <v>77403.600000000006</v>
      </c>
      <c r="AJ15" s="28">
        <v>33926.400000000001</v>
      </c>
      <c r="AK15" s="8">
        <f t="shared" si="8"/>
        <v>43.830519510720428</v>
      </c>
      <c r="AL15" s="20">
        <v>9885.7000000000007</v>
      </c>
      <c r="AM15" s="20">
        <v>0</v>
      </c>
      <c r="AN15" s="8">
        <f t="shared" si="18"/>
        <v>0</v>
      </c>
      <c r="AO15" s="8" t="s">
        <v>1</v>
      </c>
      <c r="AP15" s="8">
        <v>0</v>
      </c>
      <c r="AQ15" s="8">
        <f t="shared" si="9"/>
        <v>0</v>
      </c>
      <c r="AR15" s="9">
        <f>7111.7+18661.8+21000</f>
        <v>46773.5</v>
      </c>
      <c r="AS15" s="9">
        <v>0</v>
      </c>
      <c r="AT15" s="8">
        <f t="shared" si="20"/>
        <v>0</v>
      </c>
      <c r="AU15" s="20">
        <v>11660.2</v>
      </c>
      <c r="AV15" s="27">
        <v>3278</v>
      </c>
      <c r="AW15" s="8">
        <f t="shared" si="10"/>
        <v>28.112725339188003</v>
      </c>
      <c r="AX15" s="27">
        <f>659730.2</f>
        <v>659730.19999999995</v>
      </c>
      <c r="AY15" s="28">
        <v>246668.6</v>
      </c>
      <c r="AZ15" s="8">
        <f t="shared" si="11"/>
        <v>37.38931460163564</v>
      </c>
      <c r="BA15" s="8">
        <v>0</v>
      </c>
      <c r="BB15" s="8">
        <v>0</v>
      </c>
      <c r="BC15" s="8">
        <v>0</v>
      </c>
      <c r="BD15" s="8">
        <v>3029.4</v>
      </c>
      <c r="BE15" s="8">
        <v>2376</v>
      </c>
      <c r="BF15" s="8">
        <f t="shared" si="12"/>
        <v>78.431372549019613</v>
      </c>
      <c r="BG15" s="21">
        <v>3720.9</v>
      </c>
      <c r="BH15" s="21">
        <v>0</v>
      </c>
      <c r="BI15" s="8">
        <f t="shared" si="23"/>
        <v>0</v>
      </c>
      <c r="BJ15" s="9">
        <v>12500</v>
      </c>
      <c r="BK15" s="9">
        <v>6500</v>
      </c>
      <c r="BL15" s="8">
        <f t="shared" si="13"/>
        <v>52</v>
      </c>
      <c r="BM15" s="25">
        <v>14432.3</v>
      </c>
      <c r="BN15" s="9">
        <v>0</v>
      </c>
      <c r="BO15" s="8">
        <f t="shared" si="21"/>
        <v>0</v>
      </c>
      <c r="BP15" s="9">
        <v>0</v>
      </c>
      <c r="BQ15" s="9">
        <v>0</v>
      </c>
      <c r="BR15" s="8">
        <v>0</v>
      </c>
      <c r="BS15" s="8">
        <v>0</v>
      </c>
      <c r="BT15" s="8">
        <v>0</v>
      </c>
      <c r="BU15" s="8">
        <v>0</v>
      </c>
    </row>
    <row r="16" spans="1:73" s="2" customFormat="1" ht="17.399999999999999" customHeight="1" x14ac:dyDescent="0.3">
      <c r="A16" s="11" t="s">
        <v>5</v>
      </c>
      <c r="B16" s="8">
        <f t="shared" si="1"/>
        <v>257957.1</v>
      </c>
      <c r="C16" s="8">
        <f t="shared" si="2"/>
        <v>95550.599999999991</v>
      </c>
      <c r="D16" s="8">
        <f t="shared" si="3"/>
        <v>37.041275467897563</v>
      </c>
      <c r="E16" s="26">
        <v>372.5</v>
      </c>
      <c r="F16" s="8">
        <v>0</v>
      </c>
      <c r="G16" s="8">
        <v>0</v>
      </c>
      <c r="H16" s="9">
        <v>72.599999999999994</v>
      </c>
      <c r="I16" s="9">
        <v>0</v>
      </c>
      <c r="J16" s="8">
        <f t="shared" si="4"/>
        <v>0</v>
      </c>
      <c r="K16" s="20">
        <v>16080.6</v>
      </c>
      <c r="L16" s="8">
        <v>0</v>
      </c>
      <c r="M16" s="8">
        <f t="shared" si="5"/>
        <v>0</v>
      </c>
      <c r="N16" s="8">
        <v>0</v>
      </c>
      <c r="O16" s="8">
        <v>0</v>
      </c>
      <c r="P16" s="8">
        <v>0</v>
      </c>
      <c r="Q16" s="20">
        <v>66197.3</v>
      </c>
      <c r="R16" s="8">
        <v>143</v>
      </c>
      <c r="S16" s="8">
        <f t="shared" si="15"/>
        <v>0.21602089511203629</v>
      </c>
      <c r="T16" s="20">
        <v>0</v>
      </c>
      <c r="U16" s="8">
        <v>0</v>
      </c>
      <c r="V16" s="8">
        <v>0</v>
      </c>
      <c r="W16" s="20">
        <v>819.6</v>
      </c>
      <c r="X16" s="8">
        <v>0</v>
      </c>
      <c r="Y16" s="8">
        <f t="shared" si="7"/>
        <v>0</v>
      </c>
      <c r="Z16" s="20">
        <v>0</v>
      </c>
      <c r="AA16" s="8">
        <v>0</v>
      </c>
      <c r="AB16" s="8">
        <v>0</v>
      </c>
      <c r="AC16" s="20">
        <v>336.2</v>
      </c>
      <c r="AD16" s="20">
        <v>72</v>
      </c>
      <c r="AE16" s="8">
        <f t="shared" si="16"/>
        <v>21.415823914336706</v>
      </c>
      <c r="AF16" s="20">
        <v>99</v>
      </c>
      <c r="AG16" s="8">
        <v>0</v>
      </c>
      <c r="AH16" s="8">
        <v>0</v>
      </c>
      <c r="AI16" s="20">
        <v>82014.899999999994</v>
      </c>
      <c r="AJ16" s="28">
        <v>82014.899999999994</v>
      </c>
      <c r="AK16" s="8">
        <f t="shared" si="8"/>
        <v>100</v>
      </c>
      <c r="AL16" s="20">
        <v>4861.8999999999996</v>
      </c>
      <c r="AM16" s="20">
        <v>0</v>
      </c>
      <c r="AN16" s="8">
        <f t="shared" si="18"/>
        <v>0</v>
      </c>
      <c r="AO16" s="8" t="s">
        <v>1</v>
      </c>
      <c r="AP16" s="8">
        <v>0</v>
      </c>
      <c r="AQ16" s="8">
        <f t="shared" si="9"/>
        <v>0</v>
      </c>
      <c r="AR16" s="9">
        <f>2731.7+7168.3+15000+27860</f>
        <v>52760</v>
      </c>
      <c r="AS16" s="9">
        <v>9550.9</v>
      </c>
      <c r="AT16" s="8">
        <f t="shared" si="20"/>
        <v>18.102539802880973</v>
      </c>
      <c r="AU16" s="20">
        <v>9492.5</v>
      </c>
      <c r="AV16" s="28">
        <v>1559.3</v>
      </c>
      <c r="AW16" s="8">
        <f t="shared" si="10"/>
        <v>16.426652620489861</v>
      </c>
      <c r="AX16" s="27">
        <f>14850</f>
        <v>14850</v>
      </c>
      <c r="AY16" s="28">
        <v>0</v>
      </c>
      <c r="AZ16" s="8">
        <f t="shared" si="11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21">
        <v>0</v>
      </c>
      <c r="BH16" s="21">
        <v>0</v>
      </c>
      <c r="BI16" s="8">
        <v>0</v>
      </c>
      <c r="BJ16" s="9">
        <v>10000</v>
      </c>
      <c r="BK16" s="9">
        <v>2210.5</v>
      </c>
      <c r="BL16" s="8">
        <f t="shared" si="13"/>
        <v>22.105</v>
      </c>
      <c r="BM16" s="25">
        <v>0</v>
      </c>
      <c r="BN16" s="9">
        <v>0</v>
      </c>
      <c r="BO16" s="8">
        <v>0</v>
      </c>
      <c r="BP16" s="9">
        <v>0</v>
      </c>
      <c r="BQ16" s="9">
        <v>0</v>
      </c>
      <c r="BR16" s="8">
        <v>0</v>
      </c>
      <c r="BS16" s="8">
        <v>0</v>
      </c>
      <c r="BT16" s="8">
        <v>0</v>
      </c>
      <c r="BU16" s="8">
        <v>0</v>
      </c>
    </row>
    <row r="17" spans="1:73" s="2" customFormat="1" ht="15.6" x14ac:dyDescent="0.3">
      <c r="A17" s="11" t="s">
        <v>54</v>
      </c>
      <c r="B17" s="8">
        <f t="shared" si="1"/>
        <v>449221.89999999997</v>
      </c>
      <c r="C17" s="8">
        <f t="shared" si="2"/>
        <v>69477.5</v>
      </c>
      <c r="D17" s="8">
        <f t="shared" si="3"/>
        <v>15.466187200579492</v>
      </c>
      <c r="E17" s="26">
        <v>3056.7</v>
      </c>
      <c r="F17" s="8">
        <v>0</v>
      </c>
      <c r="G17" s="8">
        <f t="shared" si="14"/>
        <v>0</v>
      </c>
      <c r="H17" s="9">
        <v>398.1</v>
      </c>
      <c r="I17" s="9">
        <v>398.1</v>
      </c>
      <c r="J17" s="8">
        <f t="shared" si="4"/>
        <v>100</v>
      </c>
      <c r="K17" s="20">
        <f>6537.6+34627.2</f>
        <v>41164.799999999996</v>
      </c>
      <c r="L17" s="8">
        <f>532.2+33580.8</f>
        <v>34113</v>
      </c>
      <c r="M17" s="8">
        <f t="shared" si="5"/>
        <v>82.86934468283583</v>
      </c>
      <c r="N17" s="8">
        <v>0</v>
      </c>
      <c r="O17" s="8">
        <v>0</v>
      </c>
      <c r="P17" s="8">
        <v>0</v>
      </c>
      <c r="Q17" s="20">
        <v>25570.3</v>
      </c>
      <c r="R17" s="8">
        <v>3994.1</v>
      </c>
      <c r="S17" s="8">
        <f t="shared" si="15"/>
        <v>15.620074852465557</v>
      </c>
      <c r="T17" s="20">
        <v>0</v>
      </c>
      <c r="U17" s="8">
        <v>0</v>
      </c>
      <c r="V17" s="8">
        <v>0</v>
      </c>
      <c r="W17" s="20">
        <v>712.8</v>
      </c>
      <c r="X17" s="8">
        <v>712.8</v>
      </c>
      <c r="Y17" s="8">
        <f t="shared" si="7"/>
        <v>100</v>
      </c>
      <c r="Z17" s="20">
        <v>623.70000000000005</v>
      </c>
      <c r="AA17" s="8">
        <v>0</v>
      </c>
      <c r="AB17" s="8">
        <f t="shared" ref="AB17:AB26" si="25">AA17/Z17*100</f>
        <v>0</v>
      </c>
      <c r="AC17" s="20">
        <v>260.5</v>
      </c>
      <c r="AD17" s="20">
        <v>112.5</v>
      </c>
      <c r="AE17" s="8">
        <f t="shared" si="16"/>
        <v>43.186180422264876</v>
      </c>
      <c r="AF17" s="20">
        <v>0</v>
      </c>
      <c r="AG17" s="20">
        <v>0</v>
      </c>
      <c r="AH17" s="8">
        <v>0</v>
      </c>
      <c r="AI17" s="20">
        <f>15615.6+22015.6</f>
        <v>37631.199999999997</v>
      </c>
      <c r="AJ17" s="27">
        <v>13624.1</v>
      </c>
      <c r="AK17" s="8">
        <f t="shared" si="8"/>
        <v>36.204266672335727</v>
      </c>
      <c r="AL17" s="20">
        <v>2724.4</v>
      </c>
      <c r="AM17" s="20">
        <v>2659.5</v>
      </c>
      <c r="AN17" s="8">
        <f t="shared" si="18"/>
        <v>97.617824108060489</v>
      </c>
      <c r="AO17" s="8" t="s">
        <v>1</v>
      </c>
      <c r="AP17" s="8">
        <v>0</v>
      </c>
      <c r="AQ17" s="8">
        <f t="shared" si="9"/>
        <v>0</v>
      </c>
      <c r="AR17" s="9">
        <f>10219.5+26817.3+4480+20790</f>
        <v>62306.8</v>
      </c>
      <c r="AS17" s="9">
        <v>10012</v>
      </c>
      <c r="AT17" s="8">
        <f t="shared" si="20"/>
        <v>16.068872097427565</v>
      </c>
      <c r="AU17" s="20">
        <v>6111.4</v>
      </c>
      <c r="AV17" s="28">
        <v>2676.2</v>
      </c>
      <c r="AW17" s="8">
        <f t="shared" si="10"/>
        <v>43.790293549759468</v>
      </c>
      <c r="AX17" s="27">
        <f>251643.1</f>
        <v>251643.1</v>
      </c>
      <c r="AY17" s="28">
        <v>607.29999999999995</v>
      </c>
      <c r="AZ17" s="8">
        <f t="shared" si="11"/>
        <v>0.24133385735591395</v>
      </c>
      <c r="BA17" s="8">
        <v>0</v>
      </c>
      <c r="BB17" s="8">
        <v>0</v>
      </c>
      <c r="BC17" s="8">
        <v>0</v>
      </c>
      <c r="BD17" s="8">
        <v>2049.3000000000002</v>
      </c>
      <c r="BE17" s="8">
        <v>567.9</v>
      </c>
      <c r="BF17" s="8">
        <f t="shared" si="12"/>
        <v>27.711901624945099</v>
      </c>
      <c r="BG17" s="21">
        <v>98.8</v>
      </c>
      <c r="BH17" s="21">
        <v>0</v>
      </c>
      <c r="BI17" s="8">
        <f t="shared" si="23"/>
        <v>0</v>
      </c>
      <c r="BJ17" s="9">
        <v>5000</v>
      </c>
      <c r="BK17" s="9">
        <v>0</v>
      </c>
      <c r="BL17" s="8">
        <f t="shared" si="13"/>
        <v>0</v>
      </c>
      <c r="BM17" s="25">
        <v>9870</v>
      </c>
      <c r="BN17" s="9">
        <v>0</v>
      </c>
      <c r="BO17" s="8">
        <f t="shared" si="21"/>
        <v>0</v>
      </c>
      <c r="BP17" s="9">
        <v>0</v>
      </c>
      <c r="BQ17" s="9">
        <v>0</v>
      </c>
      <c r="BR17" s="8">
        <v>0</v>
      </c>
      <c r="BS17" s="8">
        <v>0</v>
      </c>
      <c r="BT17" s="8">
        <v>0</v>
      </c>
      <c r="BU17" s="8">
        <v>0</v>
      </c>
    </row>
    <row r="18" spans="1:73" s="2" customFormat="1" ht="19.2" customHeight="1" x14ac:dyDescent="0.3">
      <c r="A18" s="11" t="s">
        <v>6</v>
      </c>
      <c r="B18" s="8">
        <f t="shared" si="1"/>
        <v>1157833.5999999999</v>
      </c>
      <c r="C18" s="8">
        <f t="shared" si="2"/>
        <v>190950.00000000003</v>
      </c>
      <c r="D18" s="8">
        <f t="shared" si="3"/>
        <v>16.492007141613445</v>
      </c>
      <c r="E18" s="26">
        <f>1916.6+44362.4</f>
        <v>46279</v>
      </c>
      <c r="F18" s="8">
        <f>4278.3+33.9</f>
        <v>4312.2</v>
      </c>
      <c r="G18" s="8">
        <f t="shared" si="14"/>
        <v>9.3178331424620229</v>
      </c>
      <c r="H18" s="9">
        <v>324.60000000000002</v>
      </c>
      <c r="I18" s="9">
        <v>324.60000000000002</v>
      </c>
      <c r="J18" s="8">
        <f t="shared" si="4"/>
        <v>100</v>
      </c>
      <c r="K18" s="20">
        <v>8129.5</v>
      </c>
      <c r="L18" s="8">
        <v>1283</v>
      </c>
      <c r="M18" s="8">
        <f t="shared" si="5"/>
        <v>15.782028415031673</v>
      </c>
      <c r="N18" s="8">
        <v>0</v>
      </c>
      <c r="O18" s="8">
        <v>0</v>
      </c>
      <c r="P18" s="8">
        <v>0</v>
      </c>
      <c r="Q18" s="20">
        <v>41021.800000000003</v>
      </c>
      <c r="R18" s="8">
        <v>7502.2</v>
      </c>
      <c r="S18" s="8">
        <f t="shared" si="15"/>
        <v>18.288324744404193</v>
      </c>
      <c r="T18" s="20">
        <v>0</v>
      </c>
      <c r="U18" s="8">
        <v>0</v>
      </c>
      <c r="V18" s="8">
        <v>0</v>
      </c>
      <c r="W18" s="20">
        <v>2574</v>
      </c>
      <c r="X18" s="8">
        <v>0</v>
      </c>
      <c r="Y18" s="8">
        <f t="shared" si="7"/>
        <v>0</v>
      </c>
      <c r="Z18" s="20">
        <v>0</v>
      </c>
      <c r="AA18" s="8">
        <v>0</v>
      </c>
      <c r="AB18" s="8">
        <v>0</v>
      </c>
      <c r="AC18" s="20">
        <v>498.3</v>
      </c>
      <c r="AD18" s="20">
        <v>0</v>
      </c>
      <c r="AE18" s="8">
        <f t="shared" si="16"/>
        <v>0</v>
      </c>
      <c r="AF18" s="20">
        <v>1883</v>
      </c>
      <c r="AG18" s="8">
        <v>1586</v>
      </c>
      <c r="AH18" s="8">
        <f t="shared" si="17"/>
        <v>84.227296866702076</v>
      </c>
      <c r="AI18" s="20">
        <v>35658.300000000003</v>
      </c>
      <c r="AJ18" s="27">
        <v>19529.900000000001</v>
      </c>
      <c r="AK18" s="8">
        <f t="shared" si="8"/>
        <v>54.769576788573772</v>
      </c>
      <c r="AL18" s="20">
        <v>4241.7</v>
      </c>
      <c r="AM18" s="20">
        <v>207.6</v>
      </c>
      <c r="AN18" s="8">
        <f t="shared" si="18"/>
        <v>4.8942640922271732</v>
      </c>
      <c r="AO18" s="8" t="s">
        <v>1</v>
      </c>
      <c r="AP18" s="8">
        <v>0</v>
      </c>
      <c r="AQ18" s="8">
        <f t="shared" si="9"/>
        <v>0</v>
      </c>
      <c r="AR18" s="9">
        <f>4855.1+12740.5+14000</f>
        <v>31595.599999999999</v>
      </c>
      <c r="AS18" s="9">
        <v>2002.2</v>
      </c>
      <c r="AT18" s="8">
        <f t="shared" si="20"/>
        <v>6.33695831065085</v>
      </c>
      <c r="AU18" s="20">
        <v>6110.7</v>
      </c>
      <c r="AV18" s="28">
        <v>4857.3999999999996</v>
      </c>
      <c r="AW18" s="8">
        <f t="shared" si="10"/>
        <v>79.490074786849291</v>
      </c>
      <c r="AX18" s="27">
        <f>463584.8+478819.9+20000</f>
        <v>962404.7</v>
      </c>
      <c r="AY18" s="28">
        <v>147795.70000000001</v>
      </c>
      <c r="AZ18" s="8">
        <f t="shared" si="11"/>
        <v>15.356917936913653</v>
      </c>
      <c r="BA18" s="8">
        <v>0</v>
      </c>
      <c r="BB18" s="8">
        <v>0</v>
      </c>
      <c r="BC18" s="8">
        <v>0</v>
      </c>
      <c r="BD18" s="8">
        <v>2673</v>
      </c>
      <c r="BE18" s="8">
        <v>799.2</v>
      </c>
      <c r="BF18" s="8">
        <f t="shared" si="12"/>
        <v>29.898989898989903</v>
      </c>
      <c r="BG18" s="21">
        <v>0</v>
      </c>
      <c r="BH18" s="21">
        <v>0</v>
      </c>
      <c r="BI18" s="8">
        <v>0</v>
      </c>
      <c r="BJ18" s="9">
        <v>10000</v>
      </c>
      <c r="BK18" s="9">
        <v>750</v>
      </c>
      <c r="BL18" s="8">
        <f t="shared" si="13"/>
        <v>7.5</v>
      </c>
      <c r="BM18" s="25">
        <v>4439.3999999999996</v>
      </c>
      <c r="BN18" s="9">
        <v>0</v>
      </c>
      <c r="BO18" s="8">
        <f t="shared" si="21"/>
        <v>0</v>
      </c>
      <c r="BP18" s="9">
        <v>0</v>
      </c>
      <c r="BQ18" s="9">
        <v>0</v>
      </c>
      <c r="BR18" s="8">
        <v>0</v>
      </c>
      <c r="BS18" s="8">
        <v>0</v>
      </c>
      <c r="BT18" s="8">
        <v>0</v>
      </c>
      <c r="BU18" s="8">
        <v>0</v>
      </c>
    </row>
    <row r="19" spans="1:73" s="2" customFormat="1" ht="18" customHeight="1" x14ac:dyDescent="0.3">
      <c r="A19" s="11" t="s">
        <v>7</v>
      </c>
      <c r="B19" s="8">
        <f t="shared" si="1"/>
        <v>722083.4</v>
      </c>
      <c r="C19" s="8">
        <f t="shared" si="2"/>
        <v>226231.59999999998</v>
      </c>
      <c r="D19" s="8">
        <f t="shared" si="3"/>
        <v>31.330397569034261</v>
      </c>
      <c r="E19" s="26">
        <f>3588.6+(54078.1+6799.7)</f>
        <v>64466.399999999994</v>
      </c>
      <c r="F19" s="8">
        <v>59.4</v>
      </c>
      <c r="G19" s="8">
        <f t="shared" si="14"/>
        <v>9.2141022299988842E-2</v>
      </c>
      <c r="H19" s="9">
        <v>528.29999999999995</v>
      </c>
      <c r="I19" s="9">
        <v>222.8</v>
      </c>
      <c r="J19" s="8">
        <f t="shared" si="4"/>
        <v>42.17300776074201</v>
      </c>
      <c r="K19" s="20">
        <v>24755.3</v>
      </c>
      <c r="L19" s="8">
        <v>11457.9</v>
      </c>
      <c r="M19" s="8">
        <f t="shared" si="5"/>
        <v>46.2846339975682</v>
      </c>
      <c r="N19" s="8">
        <v>0</v>
      </c>
      <c r="O19" s="8">
        <v>0</v>
      </c>
      <c r="P19" s="8">
        <v>0</v>
      </c>
      <c r="Q19" s="20">
        <v>34710.1</v>
      </c>
      <c r="R19" s="8">
        <v>14716.8</v>
      </c>
      <c r="S19" s="8">
        <f t="shared" si="15"/>
        <v>42.399186403957351</v>
      </c>
      <c r="T19" s="20">
        <v>3530</v>
      </c>
      <c r="U19" s="8">
        <v>0</v>
      </c>
      <c r="V19" s="8">
        <v>0</v>
      </c>
      <c r="W19" s="20">
        <f>5108.4+5888.7</f>
        <v>10997.099999999999</v>
      </c>
      <c r="X19" s="8">
        <v>670.8</v>
      </c>
      <c r="Y19" s="8">
        <f t="shared" si="7"/>
        <v>6.0997899446217643</v>
      </c>
      <c r="Z19" s="20">
        <v>0</v>
      </c>
      <c r="AA19" s="8">
        <v>0</v>
      </c>
      <c r="AB19" s="8">
        <v>0</v>
      </c>
      <c r="AC19" s="20">
        <f>388.9+86956.6+6000</f>
        <v>93345.5</v>
      </c>
      <c r="AD19" s="20">
        <v>328.9</v>
      </c>
      <c r="AE19" s="8">
        <f t="shared" si="16"/>
        <v>0.35234692620426261</v>
      </c>
      <c r="AF19" s="20">
        <v>952.5</v>
      </c>
      <c r="AG19" s="8">
        <v>445.5</v>
      </c>
      <c r="AH19" s="8">
        <f t="shared" si="17"/>
        <v>46.771653543307082</v>
      </c>
      <c r="AI19" s="20">
        <v>38968.6</v>
      </c>
      <c r="AJ19" s="27">
        <v>13904.4</v>
      </c>
      <c r="AK19" s="8">
        <f t="shared" si="8"/>
        <v>35.681035500377227</v>
      </c>
      <c r="AL19" s="20">
        <v>3269.2</v>
      </c>
      <c r="AM19" s="20">
        <v>0</v>
      </c>
      <c r="AN19" s="8">
        <f t="shared" si="18"/>
        <v>0</v>
      </c>
      <c r="AO19" s="8" t="s">
        <v>1</v>
      </c>
      <c r="AP19" s="8">
        <v>0</v>
      </c>
      <c r="AQ19" s="8">
        <f t="shared" si="9"/>
        <v>0</v>
      </c>
      <c r="AR19" s="9">
        <f>4806.6+12613.1+27283+21000</f>
        <v>65702.7</v>
      </c>
      <c r="AS19" s="9">
        <v>17388.3</v>
      </c>
      <c r="AT19" s="8">
        <f t="shared" si="20"/>
        <v>26.465122437890681</v>
      </c>
      <c r="AU19" s="20">
        <v>7800.5</v>
      </c>
      <c r="AV19" s="27">
        <v>4276.1000000000004</v>
      </c>
      <c r="AW19" s="8">
        <f t="shared" si="10"/>
        <v>54.818280879430816</v>
      </c>
      <c r="AX19" s="27">
        <f>317501.3+15000</f>
        <v>332501.3</v>
      </c>
      <c r="AY19" s="28">
        <v>160141.9</v>
      </c>
      <c r="AZ19" s="8">
        <f t="shared" si="11"/>
        <v>48.16278913796728</v>
      </c>
      <c r="BA19" s="8">
        <v>0</v>
      </c>
      <c r="BB19" s="8">
        <v>0</v>
      </c>
      <c r="BC19" s="8">
        <v>0</v>
      </c>
      <c r="BD19" s="8">
        <v>7217.1</v>
      </c>
      <c r="BE19" s="8">
        <v>0</v>
      </c>
      <c r="BF19" s="8">
        <f t="shared" si="12"/>
        <v>0</v>
      </c>
      <c r="BG19" s="21">
        <v>0</v>
      </c>
      <c r="BH19" s="21">
        <v>0</v>
      </c>
      <c r="BI19" s="8">
        <v>0</v>
      </c>
      <c r="BJ19" s="9">
        <v>12500</v>
      </c>
      <c r="BK19" s="9">
        <v>2618.8000000000002</v>
      </c>
      <c r="BL19" s="8">
        <f t="shared" si="13"/>
        <v>20.950400000000002</v>
      </c>
      <c r="BM19" s="25">
        <v>19818.5</v>
      </c>
      <c r="BN19" s="9">
        <v>0</v>
      </c>
      <c r="BO19" s="8">
        <f t="shared" si="21"/>
        <v>0</v>
      </c>
      <c r="BP19" s="9">
        <v>1020.3</v>
      </c>
      <c r="BQ19" s="9">
        <v>0</v>
      </c>
      <c r="BR19" s="8">
        <f t="shared" si="22"/>
        <v>0</v>
      </c>
      <c r="BS19" s="8">
        <v>0</v>
      </c>
      <c r="BT19" s="8">
        <v>0</v>
      </c>
      <c r="BU19" s="8">
        <v>0</v>
      </c>
    </row>
    <row r="20" spans="1:73" s="2" customFormat="1" ht="18" customHeight="1" x14ac:dyDescent="0.3">
      <c r="A20" s="11" t="s">
        <v>8</v>
      </c>
      <c r="B20" s="8">
        <f t="shared" si="1"/>
        <v>170628.5</v>
      </c>
      <c r="C20" s="8">
        <f t="shared" si="2"/>
        <v>60155.899999999994</v>
      </c>
      <c r="D20" s="8">
        <f t="shared" si="3"/>
        <v>35.25548193883202</v>
      </c>
      <c r="E20" s="26">
        <v>76</v>
      </c>
      <c r="F20" s="8">
        <v>51.7</v>
      </c>
      <c r="G20" s="8">
        <v>0</v>
      </c>
      <c r="H20" s="9">
        <v>34.4</v>
      </c>
      <c r="I20" s="9">
        <v>0</v>
      </c>
      <c r="J20" s="8">
        <f t="shared" si="4"/>
        <v>0</v>
      </c>
      <c r="K20" s="20">
        <v>3384.6</v>
      </c>
      <c r="L20" s="8">
        <v>0</v>
      </c>
      <c r="M20" s="8">
        <f t="shared" si="5"/>
        <v>0</v>
      </c>
      <c r="N20" s="8">
        <v>0</v>
      </c>
      <c r="O20" s="8">
        <v>0</v>
      </c>
      <c r="P20" s="8">
        <v>0</v>
      </c>
      <c r="Q20" s="20">
        <v>47600.2</v>
      </c>
      <c r="R20" s="8">
        <v>21555.3</v>
      </c>
      <c r="S20" s="8">
        <f t="shared" si="15"/>
        <v>45.284053428346944</v>
      </c>
      <c r="T20" s="20">
        <v>0</v>
      </c>
      <c r="U20" s="8">
        <v>0</v>
      </c>
      <c r="V20" s="8">
        <v>0</v>
      </c>
      <c r="W20" s="20">
        <v>0</v>
      </c>
      <c r="X20" s="8">
        <v>0</v>
      </c>
      <c r="Y20" s="8">
        <v>0</v>
      </c>
      <c r="Z20" s="20">
        <v>0</v>
      </c>
      <c r="AA20" s="8">
        <v>0</v>
      </c>
      <c r="AB20" s="8">
        <v>0</v>
      </c>
      <c r="AC20" s="20">
        <v>132.4</v>
      </c>
      <c r="AD20" s="20">
        <v>33.1</v>
      </c>
      <c r="AE20" s="8">
        <f t="shared" si="16"/>
        <v>25</v>
      </c>
      <c r="AF20" s="20">
        <v>99</v>
      </c>
      <c r="AG20" s="8">
        <v>0</v>
      </c>
      <c r="AH20" s="8">
        <v>0</v>
      </c>
      <c r="AI20" s="20">
        <v>70354.8</v>
      </c>
      <c r="AJ20" s="27">
        <v>27280.5</v>
      </c>
      <c r="AK20" s="8">
        <f t="shared" si="8"/>
        <v>38.775605928806563</v>
      </c>
      <c r="AL20" s="20">
        <v>1326</v>
      </c>
      <c r="AM20" s="20">
        <v>0</v>
      </c>
      <c r="AN20" s="8">
        <f t="shared" si="18"/>
        <v>0</v>
      </c>
      <c r="AO20" s="8" t="s">
        <v>1</v>
      </c>
      <c r="AP20" s="8">
        <v>0</v>
      </c>
      <c r="AQ20" s="8">
        <f t="shared" si="9"/>
        <v>0</v>
      </c>
      <c r="AR20" s="9">
        <f>8953.4+23494.6+7000</f>
        <v>39448</v>
      </c>
      <c r="AS20" s="9">
        <f>8112+3123.3</f>
        <v>11235.3</v>
      </c>
      <c r="AT20" s="8">
        <f t="shared" si="20"/>
        <v>28.481291827215571</v>
      </c>
      <c r="AU20" s="20">
        <v>964.5</v>
      </c>
      <c r="AV20" s="27">
        <v>0</v>
      </c>
      <c r="AW20" s="8">
        <f t="shared" si="10"/>
        <v>0</v>
      </c>
      <c r="AX20" s="27">
        <v>0</v>
      </c>
      <c r="AY20" s="27">
        <v>0</v>
      </c>
      <c r="AZ20" s="8">
        <v>0</v>
      </c>
      <c r="BA20" s="8">
        <v>2.6</v>
      </c>
      <c r="BB20" s="8">
        <v>0</v>
      </c>
      <c r="BC20" s="8">
        <f t="shared" ref="BC20:BC28" si="26">BB20/BA20*100</f>
        <v>0</v>
      </c>
      <c r="BD20" s="8">
        <v>0</v>
      </c>
      <c r="BE20" s="8">
        <v>0</v>
      </c>
      <c r="BF20" s="8">
        <v>0</v>
      </c>
      <c r="BG20" s="21">
        <v>0</v>
      </c>
      <c r="BH20" s="21">
        <v>0</v>
      </c>
      <c r="BI20" s="8">
        <v>0</v>
      </c>
      <c r="BJ20" s="9">
        <v>2500</v>
      </c>
      <c r="BK20" s="9">
        <v>0</v>
      </c>
      <c r="BL20" s="8">
        <f t="shared" si="13"/>
        <v>0</v>
      </c>
      <c r="BM20" s="25">
        <v>4706</v>
      </c>
      <c r="BN20" s="9">
        <v>0</v>
      </c>
      <c r="BO20" s="8">
        <v>0</v>
      </c>
      <c r="BP20" s="9">
        <v>0</v>
      </c>
      <c r="BQ20" s="9">
        <v>0</v>
      </c>
      <c r="BR20" s="8">
        <v>0</v>
      </c>
      <c r="BS20" s="8">
        <v>0</v>
      </c>
      <c r="BT20" s="8">
        <v>0</v>
      </c>
      <c r="BU20" s="8">
        <v>0</v>
      </c>
    </row>
    <row r="21" spans="1:73" s="2" customFormat="1" ht="15.6" x14ac:dyDescent="0.3">
      <c r="A21" s="11" t="s">
        <v>42</v>
      </c>
      <c r="B21" s="8">
        <f t="shared" si="1"/>
        <v>353436.2</v>
      </c>
      <c r="C21" s="8">
        <f t="shared" si="2"/>
        <v>66606.100000000006</v>
      </c>
      <c r="D21" s="8">
        <f t="shared" si="3"/>
        <v>18.845296548570861</v>
      </c>
      <c r="E21" s="26">
        <v>19740.2</v>
      </c>
      <c r="F21" s="8">
        <v>5236.8</v>
      </c>
      <c r="G21" s="8">
        <f t="shared" si="14"/>
        <v>26.528606599730498</v>
      </c>
      <c r="H21" s="9">
        <v>418.6</v>
      </c>
      <c r="I21" s="9">
        <v>50</v>
      </c>
      <c r="J21" s="8">
        <f t="shared" si="4"/>
        <v>11.944577161968466</v>
      </c>
      <c r="K21" s="20">
        <v>4596.3</v>
      </c>
      <c r="L21" s="8">
        <v>200</v>
      </c>
      <c r="M21" s="8">
        <f t="shared" si="5"/>
        <v>4.3513260666188023</v>
      </c>
      <c r="N21" s="8">
        <v>0</v>
      </c>
      <c r="O21" s="8">
        <v>0</v>
      </c>
      <c r="P21" s="8">
        <v>0</v>
      </c>
      <c r="Q21" s="20">
        <v>31353.200000000001</v>
      </c>
      <c r="R21" s="8">
        <v>18377.8</v>
      </c>
      <c r="S21" s="8">
        <f t="shared" si="15"/>
        <v>58.615388540882584</v>
      </c>
      <c r="T21" s="20">
        <v>0</v>
      </c>
      <c r="U21" s="8">
        <v>0</v>
      </c>
      <c r="V21" s="8">
        <v>0</v>
      </c>
      <c r="W21" s="20">
        <v>0</v>
      </c>
      <c r="X21" s="8">
        <v>0</v>
      </c>
      <c r="Y21" s="8">
        <v>0</v>
      </c>
      <c r="Z21" s="20">
        <v>12000</v>
      </c>
      <c r="AA21" s="8">
        <v>0</v>
      </c>
      <c r="AB21" s="8">
        <f t="shared" si="25"/>
        <v>0</v>
      </c>
      <c r="AC21" s="20">
        <v>263.5</v>
      </c>
      <c r="AD21" s="20">
        <v>58.7</v>
      </c>
      <c r="AE21" s="8">
        <f t="shared" si="16"/>
        <v>22.277039848197344</v>
      </c>
      <c r="AF21" s="20">
        <v>0</v>
      </c>
      <c r="AG21" s="8">
        <v>0</v>
      </c>
      <c r="AH21" s="8">
        <v>0</v>
      </c>
      <c r="AI21" s="20">
        <v>38110</v>
      </c>
      <c r="AJ21" s="27">
        <v>7012.1</v>
      </c>
      <c r="AK21" s="8">
        <f t="shared" si="8"/>
        <v>18.39963264235109</v>
      </c>
      <c r="AL21" s="20">
        <v>5314.1</v>
      </c>
      <c r="AM21" s="20">
        <v>1500</v>
      </c>
      <c r="AN21" s="8">
        <f t="shared" si="18"/>
        <v>28.226792871793904</v>
      </c>
      <c r="AO21" s="8" t="s">
        <v>1</v>
      </c>
      <c r="AP21" s="8">
        <v>0</v>
      </c>
      <c r="AQ21" s="8">
        <f t="shared" si="9"/>
        <v>0</v>
      </c>
      <c r="AR21" s="9">
        <f>3960.8+10394.2+24739+14000</f>
        <v>53094</v>
      </c>
      <c r="AS21" s="9">
        <v>28020.6</v>
      </c>
      <c r="AT21" s="8">
        <f t="shared" si="20"/>
        <v>52.775454853655781</v>
      </c>
      <c r="AU21" s="20">
        <v>7778.6</v>
      </c>
      <c r="AV21" s="27">
        <v>3100</v>
      </c>
      <c r="AW21" s="8">
        <f t="shared" si="10"/>
        <v>39.852929833131924</v>
      </c>
      <c r="AX21" s="27">
        <f>47025+44339.8+50000</f>
        <v>141364.79999999999</v>
      </c>
      <c r="AY21" s="27">
        <v>0</v>
      </c>
      <c r="AZ21" s="8">
        <f t="shared" si="11"/>
        <v>0</v>
      </c>
      <c r="BA21" s="8">
        <v>0</v>
      </c>
      <c r="BB21" s="8">
        <v>0</v>
      </c>
      <c r="BC21" s="8">
        <v>0</v>
      </c>
      <c r="BD21" s="8">
        <v>5316.3</v>
      </c>
      <c r="BE21" s="8">
        <v>1317.9</v>
      </c>
      <c r="BF21" s="8">
        <f t="shared" si="12"/>
        <v>24.789797415495741</v>
      </c>
      <c r="BG21" s="21">
        <v>0</v>
      </c>
      <c r="BH21" s="21">
        <v>0</v>
      </c>
      <c r="BI21" s="8">
        <v>0</v>
      </c>
      <c r="BJ21" s="9">
        <v>10000</v>
      </c>
      <c r="BK21" s="9">
        <v>1732.2</v>
      </c>
      <c r="BL21" s="8">
        <f t="shared" si="13"/>
        <v>17.322000000000003</v>
      </c>
      <c r="BM21" s="25">
        <v>24086.6</v>
      </c>
      <c r="BN21" s="9">
        <v>0</v>
      </c>
      <c r="BO21" s="8">
        <f t="shared" si="21"/>
        <v>0</v>
      </c>
      <c r="BP21" s="9">
        <v>0</v>
      </c>
      <c r="BQ21" s="9">
        <v>0</v>
      </c>
      <c r="BR21" s="8">
        <v>0</v>
      </c>
      <c r="BS21" s="8">
        <v>0</v>
      </c>
      <c r="BT21" s="8">
        <v>0</v>
      </c>
      <c r="BU21" s="8">
        <v>0</v>
      </c>
    </row>
    <row r="22" spans="1:73" s="2" customFormat="1" ht="18" customHeight="1" x14ac:dyDescent="0.3">
      <c r="A22" s="11" t="s">
        <v>9</v>
      </c>
      <c r="B22" s="8">
        <f t="shared" si="1"/>
        <v>835405.1</v>
      </c>
      <c r="C22" s="8">
        <f t="shared" si="2"/>
        <v>361509.6</v>
      </c>
      <c r="D22" s="8">
        <f t="shared" si="3"/>
        <v>43.273568715345405</v>
      </c>
      <c r="E22" s="26">
        <v>719.5</v>
      </c>
      <c r="F22" s="26">
        <v>313.7</v>
      </c>
      <c r="G22" s="8">
        <f t="shared" si="14"/>
        <v>43.599722029186935</v>
      </c>
      <c r="H22" s="9">
        <v>723.7</v>
      </c>
      <c r="I22" s="9">
        <v>0</v>
      </c>
      <c r="J22" s="8">
        <f t="shared" si="4"/>
        <v>0</v>
      </c>
      <c r="K22" s="20">
        <v>5783.9</v>
      </c>
      <c r="L22" s="8">
        <v>0</v>
      </c>
      <c r="M22" s="8">
        <f t="shared" si="5"/>
        <v>0</v>
      </c>
      <c r="N22" s="8">
        <v>0</v>
      </c>
      <c r="O22" s="8">
        <v>0</v>
      </c>
      <c r="P22" s="8">
        <v>0</v>
      </c>
      <c r="Q22" s="20">
        <v>43166</v>
      </c>
      <c r="R22" s="8">
        <v>4635.1000000000004</v>
      </c>
      <c r="S22" s="8">
        <f t="shared" si="15"/>
        <v>10.73784923319279</v>
      </c>
      <c r="T22" s="20">
        <v>0</v>
      </c>
      <c r="U22" s="8">
        <v>0</v>
      </c>
      <c r="V22" s="8">
        <v>0</v>
      </c>
      <c r="W22" s="20">
        <v>585.9</v>
      </c>
      <c r="X22" s="8">
        <v>585.9</v>
      </c>
      <c r="Y22" s="8">
        <f t="shared" si="7"/>
        <v>100</v>
      </c>
      <c r="Z22" s="20">
        <v>0</v>
      </c>
      <c r="AA22" s="8">
        <v>0</v>
      </c>
      <c r="AB22" s="8">
        <v>0</v>
      </c>
      <c r="AC22" s="20">
        <f>484.6+86956.6+6000</f>
        <v>93441.200000000012</v>
      </c>
      <c r="AD22" s="8">
        <v>484.6</v>
      </c>
      <c r="AE22" s="8">
        <f t="shared" si="16"/>
        <v>0.51861491504818003</v>
      </c>
      <c r="AF22" s="20">
        <v>3706.5</v>
      </c>
      <c r="AG22" s="20">
        <v>2353.9</v>
      </c>
      <c r="AH22" s="8">
        <f t="shared" si="17"/>
        <v>63.507351949278302</v>
      </c>
      <c r="AI22" s="20">
        <v>27493.5</v>
      </c>
      <c r="AJ22" s="28">
        <v>19676.599999999999</v>
      </c>
      <c r="AK22" s="8">
        <f t="shared" si="8"/>
        <v>71.568188844636012</v>
      </c>
      <c r="AL22" s="20">
        <v>1453</v>
      </c>
      <c r="AM22" s="20">
        <v>0</v>
      </c>
      <c r="AN22" s="8">
        <f t="shared" si="18"/>
        <v>0</v>
      </c>
      <c r="AO22" s="8" t="s">
        <v>1</v>
      </c>
      <c r="AP22" s="8">
        <v>0</v>
      </c>
      <c r="AQ22" s="8">
        <f t="shared" si="9"/>
        <v>0</v>
      </c>
      <c r="AR22" s="9">
        <f>8194.9+21505.1+21000</f>
        <v>50700</v>
      </c>
      <c r="AS22" s="9">
        <v>6300</v>
      </c>
      <c r="AT22" s="8">
        <f t="shared" si="20"/>
        <v>12.42603550295858</v>
      </c>
      <c r="AU22" s="20">
        <v>12122</v>
      </c>
      <c r="AV22" s="28">
        <v>7680</v>
      </c>
      <c r="AW22" s="8">
        <f t="shared" si="10"/>
        <v>63.355881867678598</v>
      </c>
      <c r="AX22" s="27">
        <f>61026+18307.8+361856.3+79504.9</f>
        <v>520695</v>
      </c>
      <c r="AY22" s="28">
        <v>319223</v>
      </c>
      <c r="AZ22" s="8">
        <f t="shared" si="11"/>
        <v>61.307099165538368</v>
      </c>
      <c r="BA22" s="8">
        <v>0</v>
      </c>
      <c r="BB22" s="8">
        <v>0</v>
      </c>
      <c r="BC22" s="8">
        <v>0</v>
      </c>
      <c r="BD22" s="8">
        <v>8761.5</v>
      </c>
      <c r="BE22" s="8">
        <v>0</v>
      </c>
      <c r="BF22" s="8">
        <f t="shared" si="12"/>
        <v>0</v>
      </c>
      <c r="BG22" s="21">
        <v>4715.3</v>
      </c>
      <c r="BH22" s="21">
        <v>0</v>
      </c>
      <c r="BI22" s="8">
        <f t="shared" ref="BI22:BI23" si="27">BH22/BG22*100</f>
        <v>0</v>
      </c>
      <c r="BJ22" s="9">
        <v>20000</v>
      </c>
      <c r="BK22" s="9">
        <v>256.8</v>
      </c>
      <c r="BL22" s="8">
        <f t="shared" si="13"/>
        <v>1.284</v>
      </c>
      <c r="BM22" s="25">
        <v>39415.199999999997</v>
      </c>
      <c r="BN22" s="9">
        <v>0</v>
      </c>
      <c r="BO22" s="8">
        <f t="shared" si="21"/>
        <v>0</v>
      </c>
      <c r="BP22" s="9">
        <v>1922.9</v>
      </c>
      <c r="BQ22" s="9">
        <v>0</v>
      </c>
      <c r="BR22" s="8">
        <f t="shared" si="22"/>
        <v>0</v>
      </c>
      <c r="BS22" s="8">
        <v>0</v>
      </c>
      <c r="BT22" s="8">
        <v>0</v>
      </c>
      <c r="BU22" s="8">
        <v>0</v>
      </c>
    </row>
    <row r="23" spans="1:73" s="2" customFormat="1" ht="15.6" customHeight="1" x14ac:dyDescent="0.3">
      <c r="A23" s="11" t="s">
        <v>10</v>
      </c>
      <c r="B23" s="8">
        <f t="shared" si="1"/>
        <v>366195.1</v>
      </c>
      <c r="C23" s="8">
        <f t="shared" si="2"/>
        <v>112391.49999999999</v>
      </c>
      <c r="D23" s="8">
        <f t="shared" si="3"/>
        <v>30.691699588552655</v>
      </c>
      <c r="E23" s="26">
        <v>76</v>
      </c>
      <c r="F23" s="8">
        <v>0</v>
      </c>
      <c r="G23" s="8">
        <f t="shared" si="14"/>
        <v>0</v>
      </c>
      <c r="H23" s="9">
        <v>147.9</v>
      </c>
      <c r="I23" s="9">
        <v>0</v>
      </c>
      <c r="J23" s="8">
        <f t="shared" si="4"/>
        <v>0</v>
      </c>
      <c r="K23" s="20">
        <v>2843.6</v>
      </c>
      <c r="L23" s="8">
        <v>0</v>
      </c>
      <c r="M23" s="8">
        <f t="shared" si="5"/>
        <v>0</v>
      </c>
      <c r="N23" s="8">
        <v>0</v>
      </c>
      <c r="O23" s="8">
        <v>0</v>
      </c>
      <c r="P23" s="8">
        <v>0</v>
      </c>
      <c r="Q23" s="20">
        <v>74429.3</v>
      </c>
      <c r="R23" s="8">
        <v>0</v>
      </c>
      <c r="S23" s="8">
        <f t="shared" si="15"/>
        <v>0</v>
      </c>
      <c r="T23" s="20" t="s">
        <v>1</v>
      </c>
      <c r="U23" s="8">
        <v>0</v>
      </c>
      <c r="V23" s="8">
        <v>0</v>
      </c>
      <c r="W23" s="20">
        <v>1188</v>
      </c>
      <c r="X23" s="8">
        <v>0</v>
      </c>
      <c r="Y23" s="8">
        <f t="shared" si="7"/>
        <v>0</v>
      </c>
      <c r="Z23" s="20">
        <v>0</v>
      </c>
      <c r="AA23" s="8">
        <v>0</v>
      </c>
      <c r="AB23" s="8">
        <v>0</v>
      </c>
      <c r="AC23" s="20">
        <v>618.9</v>
      </c>
      <c r="AD23" s="20">
        <v>618.9</v>
      </c>
      <c r="AE23" s="8">
        <f t="shared" si="16"/>
        <v>100</v>
      </c>
      <c r="AF23" s="20">
        <v>99</v>
      </c>
      <c r="AG23" s="8">
        <v>0</v>
      </c>
      <c r="AH23" s="8">
        <v>0</v>
      </c>
      <c r="AI23" s="20">
        <v>97993.600000000006</v>
      </c>
      <c r="AJ23" s="28">
        <v>73576.5</v>
      </c>
      <c r="AK23" s="8">
        <f t="shared" si="8"/>
        <v>75.082964601769902</v>
      </c>
      <c r="AL23" s="20">
        <v>1547</v>
      </c>
      <c r="AM23" s="8">
        <v>1547</v>
      </c>
      <c r="AN23" s="8">
        <f t="shared" si="18"/>
        <v>100</v>
      </c>
      <c r="AO23" s="8" t="s">
        <v>1</v>
      </c>
      <c r="AP23" s="8">
        <v>0</v>
      </c>
      <c r="AQ23" s="8">
        <f t="shared" si="9"/>
        <v>0</v>
      </c>
      <c r="AR23" s="9">
        <f>11313.2+29687.4</f>
        <v>41000.600000000006</v>
      </c>
      <c r="AS23" s="9">
        <v>12300.2</v>
      </c>
      <c r="AT23" s="8">
        <f t="shared" si="20"/>
        <v>30.000048779773952</v>
      </c>
      <c r="AU23" s="20">
        <v>18072</v>
      </c>
      <c r="AV23" s="8">
        <v>4190.5</v>
      </c>
      <c r="AW23" s="8">
        <f t="shared" si="10"/>
        <v>23.187804338202746</v>
      </c>
      <c r="AX23" s="27">
        <v>115406.6</v>
      </c>
      <c r="AY23" s="27">
        <v>19328.8</v>
      </c>
      <c r="AZ23" s="8">
        <f t="shared" si="11"/>
        <v>16.748435531416746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21">
        <v>2772.6</v>
      </c>
      <c r="BH23" s="21">
        <v>309.7</v>
      </c>
      <c r="BI23" s="8">
        <f t="shared" si="27"/>
        <v>11.170020918993002</v>
      </c>
      <c r="BJ23" s="9">
        <v>10000</v>
      </c>
      <c r="BK23" s="9">
        <v>519.9</v>
      </c>
      <c r="BL23" s="8">
        <f t="shared" si="13"/>
        <v>5.1989999999999998</v>
      </c>
      <c r="BM23" s="9">
        <v>0</v>
      </c>
      <c r="BN23" s="9">
        <v>0</v>
      </c>
      <c r="BO23" s="8">
        <v>0</v>
      </c>
      <c r="BP23" s="9">
        <v>0</v>
      </c>
      <c r="BQ23" s="9">
        <v>0</v>
      </c>
      <c r="BR23" s="8">
        <v>0</v>
      </c>
      <c r="BS23" s="8">
        <v>0</v>
      </c>
      <c r="BT23" s="8">
        <v>0</v>
      </c>
      <c r="BU23" s="8">
        <v>0</v>
      </c>
    </row>
    <row r="24" spans="1:73" s="2" customFormat="1" ht="34.200000000000003" hidden="1" customHeight="1" x14ac:dyDescent="0.3">
      <c r="A24" s="11" t="s">
        <v>11</v>
      </c>
      <c r="B24" s="8">
        <f t="shared" si="1"/>
        <v>0</v>
      </c>
      <c r="C24" s="8">
        <f t="shared" si="2"/>
        <v>0</v>
      </c>
      <c r="D24" s="8" t="e">
        <f t="shared" si="3"/>
        <v>#DIV/0!</v>
      </c>
      <c r="E24" s="8">
        <v>0</v>
      </c>
      <c r="F24" s="8">
        <v>0</v>
      </c>
      <c r="G24" s="8" t="e">
        <f t="shared" si="14"/>
        <v>#DIV/0!</v>
      </c>
      <c r="H24" s="9"/>
      <c r="I24" s="9">
        <v>0</v>
      </c>
      <c r="J24" s="8" t="e">
        <f t="shared" si="4"/>
        <v>#DIV/0!</v>
      </c>
      <c r="K24" s="8">
        <v>0</v>
      </c>
      <c r="L24" s="8">
        <v>0</v>
      </c>
      <c r="M24" s="8" t="e">
        <f t="shared" si="5"/>
        <v>#DIV/0!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 t="e">
        <f t="shared" si="15"/>
        <v>#DIV/0!</v>
      </c>
      <c r="T24" s="8" t="s">
        <v>1</v>
      </c>
      <c r="U24" s="8" t="s">
        <v>1</v>
      </c>
      <c r="V24" s="8" t="e">
        <f t="shared" ref="V24:V28" si="28">U24/T24*100</f>
        <v>#DIV/0!</v>
      </c>
      <c r="W24" s="8" t="s">
        <v>1</v>
      </c>
      <c r="X24" s="8">
        <v>0</v>
      </c>
      <c r="Y24" s="8" t="e">
        <f t="shared" si="7"/>
        <v>#DIV/0!</v>
      </c>
      <c r="Z24" s="20">
        <v>0</v>
      </c>
      <c r="AA24" s="8">
        <v>0</v>
      </c>
      <c r="AB24" s="8" t="e">
        <f t="shared" si="25"/>
        <v>#DIV/0!</v>
      </c>
      <c r="AC24" s="8">
        <v>0</v>
      </c>
      <c r="AD24" s="8">
        <v>0</v>
      </c>
      <c r="AE24" s="8" t="e">
        <f t="shared" si="16"/>
        <v>#DIV/0!</v>
      </c>
      <c r="AF24" s="8">
        <v>0</v>
      </c>
      <c r="AG24" s="8">
        <v>0</v>
      </c>
      <c r="AH24" s="8" t="e">
        <f t="shared" si="17"/>
        <v>#DIV/0!</v>
      </c>
      <c r="AI24" s="8">
        <v>0</v>
      </c>
      <c r="AJ24" s="28">
        <v>0</v>
      </c>
      <c r="AK24" s="8" t="e">
        <f t="shared" si="8"/>
        <v>#DIV/0!</v>
      </c>
      <c r="AL24" s="8" t="s">
        <v>1</v>
      </c>
      <c r="AM24" s="8">
        <v>0</v>
      </c>
      <c r="AN24" s="8" t="e">
        <f t="shared" si="18"/>
        <v>#DIV/0!</v>
      </c>
      <c r="AO24" s="8" t="s">
        <v>1</v>
      </c>
      <c r="AP24" s="8">
        <v>0</v>
      </c>
      <c r="AQ24" s="8">
        <f t="shared" si="9"/>
        <v>0</v>
      </c>
      <c r="AR24" s="9"/>
      <c r="AS24" s="9"/>
      <c r="AT24" s="9"/>
      <c r="AU24" s="8">
        <v>0</v>
      </c>
      <c r="AV24" s="8">
        <v>0</v>
      </c>
      <c r="AW24" s="8" t="e">
        <f t="shared" si="10"/>
        <v>#DIV/0!</v>
      </c>
      <c r="AX24" s="28"/>
      <c r="AY24" s="28"/>
      <c r="AZ24" s="8" t="e">
        <f t="shared" si="11"/>
        <v>#DIV/0!</v>
      </c>
      <c r="BA24" s="8">
        <v>0</v>
      </c>
      <c r="BB24" s="8">
        <v>0</v>
      </c>
      <c r="BC24" s="8" t="e">
        <f t="shared" si="26"/>
        <v>#DIV/0!</v>
      </c>
      <c r="BD24" s="8">
        <v>0</v>
      </c>
      <c r="BE24" s="8">
        <v>0</v>
      </c>
      <c r="BF24" s="8" t="e">
        <f t="shared" si="12"/>
        <v>#DIV/0!</v>
      </c>
      <c r="BG24" s="21">
        <v>0</v>
      </c>
      <c r="BH24" s="24"/>
      <c r="BI24" s="8">
        <f t="shared" ref="BI24:BI26" si="29">BH24-BG24</f>
        <v>0</v>
      </c>
      <c r="BJ24" s="9">
        <v>0</v>
      </c>
      <c r="BK24" s="9">
        <v>0</v>
      </c>
      <c r="BL24" s="8" t="e">
        <f t="shared" si="13"/>
        <v>#DIV/0!</v>
      </c>
      <c r="BM24" s="9">
        <v>0</v>
      </c>
      <c r="BN24" s="9">
        <v>0</v>
      </c>
      <c r="BO24" s="8" t="e">
        <f t="shared" si="21"/>
        <v>#DIV/0!</v>
      </c>
      <c r="BP24" s="9"/>
      <c r="BQ24" s="9"/>
      <c r="BR24" s="9"/>
      <c r="BS24" s="9"/>
      <c r="BT24" s="9"/>
      <c r="BU24" s="8" t="e">
        <f t="shared" si="19"/>
        <v>#DIV/0!</v>
      </c>
    </row>
    <row r="25" spans="1:73" s="2" customFormat="1" ht="34.200000000000003" hidden="1" customHeight="1" x14ac:dyDescent="0.3">
      <c r="A25" s="11" t="s">
        <v>12</v>
      </c>
      <c r="B25" s="8">
        <f t="shared" si="1"/>
        <v>0</v>
      </c>
      <c r="C25" s="8">
        <f t="shared" si="2"/>
        <v>0</v>
      </c>
      <c r="D25" s="8" t="e">
        <f t="shared" si="3"/>
        <v>#DIV/0!</v>
      </c>
      <c r="E25" s="8">
        <v>0</v>
      </c>
      <c r="F25" s="8">
        <v>0</v>
      </c>
      <c r="G25" s="8" t="e">
        <f t="shared" si="14"/>
        <v>#DIV/0!</v>
      </c>
      <c r="H25" s="9"/>
      <c r="I25" s="9">
        <v>0</v>
      </c>
      <c r="J25" s="8" t="e">
        <f t="shared" si="4"/>
        <v>#DIV/0!</v>
      </c>
      <c r="K25" s="8">
        <v>0</v>
      </c>
      <c r="L25" s="8">
        <v>0</v>
      </c>
      <c r="M25" s="8" t="e">
        <f t="shared" si="5"/>
        <v>#DIV/0!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 t="e">
        <f t="shared" si="15"/>
        <v>#DIV/0!</v>
      </c>
      <c r="T25" s="8" t="s">
        <v>1</v>
      </c>
      <c r="U25" s="8" t="s">
        <v>1</v>
      </c>
      <c r="V25" s="8" t="e">
        <f t="shared" si="28"/>
        <v>#DIV/0!</v>
      </c>
      <c r="W25" s="8" t="s">
        <v>1</v>
      </c>
      <c r="X25" s="8">
        <v>0</v>
      </c>
      <c r="Y25" s="8" t="e">
        <f t="shared" si="7"/>
        <v>#DIV/0!</v>
      </c>
      <c r="Z25" s="20">
        <v>0</v>
      </c>
      <c r="AA25" s="8">
        <v>0</v>
      </c>
      <c r="AB25" s="8" t="e">
        <f t="shared" si="25"/>
        <v>#DIV/0!</v>
      </c>
      <c r="AC25" s="8">
        <v>0</v>
      </c>
      <c r="AD25" s="8">
        <v>0</v>
      </c>
      <c r="AE25" s="8" t="e">
        <f t="shared" si="16"/>
        <v>#DIV/0!</v>
      </c>
      <c r="AF25" s="8">
        <v>0</v>
      </c>
      <c r="AG25" s="8">
        <v>0</v>
      </c>
      <c r="AH25" s="8" t="e">
        <f t="shared" si="17"/>
        <v>#DIV/0!</v>
      </c>
      <c r="AI25" s="8">
        <v>0</v>
      </c>
      <c r="AJ25" s="28">
        <v>0</v>
      </c>
      <c r="AK25" s="8" t="e">
        <f t="shared" si="8"/>
        <v>#DIV/0!</v>
      </c>
      <c r="AL25" s="8" t="s">
        <v>1</v>
      </c>
      <c r="AM25" s="8">
        <v>0</v>
      </c>
      <c r="AN25" s="8" t="e">
        <f t="shared" si="18"/>
        <v>#DIV/0!</v>
      </c>
      <c r="AO25" s="8" t="s">
        <v>1</v>
      </c>
      <c r="AP25" s="8">
        <v>0</v>
      </c>
      <c r="AQ25" s="8">
        <f t="shared" si="9"/>
        <v>0</v>
      </c>
      <c r="AR25" s="9"/>
      <c r="AS25" s="9"/>
      <c r="AT25" s="9"/>
      <c r="AU25" s="8">
        <v>0</v>
      </c>
      <c r="AV25" s="8">
        <v>0</v>
      </c>
      <c r="AW25" s="8" t="e">
        <f t="shared" si="10"/>
        <v>#DIV/0!</v>
      </c>
      <c r="AX25" s="28"/>
      <c r="AY25" s="28"/>
      <c r="AZ25" s="8" t="e">
        <f t="shared" si="11"/>
        <v>#DIV/0!</v>
      </c>
      <c r="BA25" s="8">
        <v>0</v>
      </c>
      <c r="BB25" s="8">
        <v>0</v>
      </c>
      <c r="BC25" s="8" t="e">
        <f t="shared" si="26"/>
        <v>#DIV/0!</v>
      </c>
      <c r="BD25" s="8">
        <v>0</v>
      </c>
      <c r="BE25" s="8">
        <v>0</v>
      </c>
      <c r="BF25" s="8" t="e">
        <f t="shared" si="12"/>
        <v>#DIV/0!</v>
      </c>
      <c r="BG25" s="21">
        <v>0</v>
      </c>
      <c r="BH25" s="24"/>
      <c r="BI25" s="8">
        <f t="shared" si="29"/>
        <v>0</v>
      </c>
      <c r="BJ25" s="9">
        <v>0</v>
      </c>
      <c r="BK25" s="9">
        <v>0</v>
      </c>
      <c r="BL25" s="8" t="e">
        <f t="shared" si="13"/>
        <v>#DIV/0!</v>
      </c>
      <c r="BM25" s="9">
        <v>0</v>
      </c>
      <c r="BN25" s="9">
        <v>0</v>
      </c>
      <c r="BO25" s="8" t="e">
        <f t="shared" si="21"/>
        <v>#DIV/0!</v>
      </c>
      <c r="BP25" s="9"/>
      <c r="BQ25" s="9"/>
      <c r="BR25" s="9"/>
      <c r="BS25" s="9"/>
      <c r="BT25" s="9"/>
      <c r="BU25" s="8" t="e">
        <f t="shared" si="19"/>
        <v>#DIV/0!</v>
      </c>
    </row>
    <row r="26" spans="1:73" s="2" customFormat="1" ht="34.200000000000003" hidden="1" customHeight="1" x14ac:dyDescent="0.3">
      <c r="A26" s="11" t="s">
        <v>13</v>
      </c>
      <c r="B26" s="8">
        <f t="shared" si="1"/>
        <v>0</v>
      </c>
      <c r="C26" s="8">
        <f t="shared" si="2"/>
        <v>0</v>
      </c>
      <c r="D26" s="8" t="e">
        <f t="shared" si="3"/>
        <v>#DIV/0!</v>
      </c>
      <c r="E26" s="8">
        <v>0</v>
      </c>
      <c r="F26" s="8">
        <v>0</v>
      </c>
      <c r="G26" s="8" t="e">
        <f t="shared" si="14"/>
        <v>#DIV/0!</v>
      </c>
      <c r="H26" s="9"/>
      <c r="I26" s="9">
        <v>0</v>
      </c>
      <c r="J26" s="8" t="e">
        <f t="shared" si="4"/>
        <v>#DIV/0!</v>
      </c>
      <c r="K26" s="8">
        <v>0</v>
      </c>
      <c r="L26" s="8">
        <v>0</v>
      </c>
      <c r="M26" s="8" t="e">
        <f t="shared" si="5"/>
        <v>#DIV/0!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 t="e">
        <f t="shared" si="15"/>
        <v>#DIV/0!</v>
      </c>
      <c r="T26" s="8" t="s">
        <v>1</v>
      </c>
      <c r="U26" s="8" t="s">
        <v>1</v>
      </c>
      <c r="V26" s="8" t="e">
        <f t="shared" si="28"/>
        <v>#DIV/0!</v>
      </c>
      <c r="W26" s="8" t="s">
        <v>1</v>
      </c>
      <c r="X26" s="8">
        <v>0</v>
      </c>
      <c r="Y26" s="8" t="e">
        <f t="shared" si="7"/>
        <v>#DIV/0!</v>
      </c>
      <c r="Z26" s="20">
        <v>0</v>
      </c>
      <c r="AA26" s="8">
        <v>0</v>
      </c>
      <c r="AB26" s="8" t="e">
        <f t="shared" si="25"/>
        <v>#DIV/0!</v>
      </c>
      <c r="AC26" s="8">
        <v>0</v>
      </c>
      <c r="AD26" s="8">
        <v>0</v>
      </c>
      <c r="AE26" s="8" t="e">
        <f t="shared" si="16"/>
        <v>#DIV/0!</v>
      </c>
      <c r="AF26" s="8">
        <v>0</v>
      </c>
      <c r="AG26" s="8">
        <v>0</v>
      </c>
      <c r="AH26" s="8" t="e">
        <f t="shared" si="17"/>
        <v>#DIV/0!</v>
      </c>
      <c r="AI26" s="8">
        <v>0</v>
      </c>
      <c r="AJ26" s="28">
        <v>0</v>
      </c>
      <c r="AK26" s="8" t="e">
        <f t="shared" si="8"/>
        <v>#DIV/0!</v>
      </c>
      <c r="AL26" s="8" t="s">
        <v>1</v>
      </c>
      <c r="AM26" s="8">
        <v>0</v>
      </c>
      <c r="AN26" s="8" t="e">
        <f t="shared" si="18"/>
        <v>#DIV/0!</v>
      </c>
      <c r="AO26" s="8" t="s">
        <v>1</v>
      </c>
      <c r="AP26" s="8">
        <v>0</v>
      </c>
      <c r="AQ26" s="8">
        <f t="shared" si="9"/>
        <v>0</v>
      </c>
      <c r="AR26" s="9"/>
      <c r="AS26" s="9"/>
      <c r="AT26" s="9"/>
      <c r="AU26" s="8">
        <v>0</v>
      </c>
      <c r="AV26" s="8">
        <v>0</v>
      </c>
      <c r="AW26" s="8" t="e">
        <f t="shared" si="10"/>
        <v>#DIV/0!</v>
      </c>
      <c r="AX26" s="28"/>
      <c r="AY26" s="28"/>
      <c r="AZ26" s="8" t="e">
        <f t="shared" si="11"/>
        <v>#DIV/0!</v>
      </c>
      <c r="BA26" s="8">
        <v>0</v>
      </c>
      <c r="BB26" s="8">
        <v>0</v>
      </c>
      <c r="BC26" s="8" t="e">
        <f t="shared" si="26"/>
        <v>#DIV/0!</v>
      </c>
      <c r="BD26" s="8">
        <v>0</v>
      </c>
      <c r="BE26" s="8">
        <v>0</v>
      </c>
      <c r="BF26" s="8" t="e">
        <f t="shared" si="12"/>
        <v>#DIV/0!</v>
      </c>
      <c r="BG26" s="21">
        <v>0</v>
      </c>
      <c r="BH26" s="24"/>
      <c r="BI26" s="8">
        <f t="shared" si="29"/>
        <v>0</v>
      </c>
      <c r="BJ26" s="9">
        <v>0</v>
      </c>
      <c r="BK26" s="9">
        <v>0</v>
      </c>
      <c r="BL26" s="8" t="e">
        <f t="shared" si="13"/>
        <v>#DIV/0!</v>
      </c>
      <c r="BM26" s="9">
        <v>0</v>
      </c>
      <c r="BN26" s="9">
        <v>0</v>
      </c>
      <c r="BO26" s="8" t="e">
        <f t="shared" si="21"/>
        <v>#DIV/0!</v>
      </c>
      <c r="BP26" s="9"/>
      <c r="BQ26" s="9"/>
      <c r="BR26" s="9"/>
      <c r="BS26" s="9"/>
      <c r="BT26" s="9"/>
      <c r="BU26" s="8" t="e">
        <f t="shared" si="19"/>
        <v>#DIV/0!</v>
      </c>
    </row>
    <row r="27" spans="1:73" s="5" customFormat="1" ht="16.95" customHeight="1" x14ac:dyDescent="0.3">
      <c r="A27" s="11" t="s">
        <v>14</v>
      </c>
      <c r="B27" s="8">
        <f t="shared" si="1"/>
        <v>29206.799999999999</v>
      </c>
      <c r="C27" s="8">
        <f t="shared" si="2"/>
        <v>0</v>
      </c>
      <c r="D27" s="8">
        <f t="shared" si="3"/>
        <v>0</v>
      </c>
      <c r="E27" s="8">
        <v>0</v>
      </c>
      <c r="F27" s="8">
        <v>0</v>
      </c>
      <c r="G27" s="8">
        <v>0</v>
      </c>
      <c r="H27" s="8">
        <v>0</v>
      </c>
      <c r="I27" s="17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0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28">
        <v>0</v>
      </c>
      <c r="AK27" s="8">
        <v>0</v>
      </c>
      <c r="AL27" s="8">
        <v>0</v>
      </c>
      <c r="AM27" s="8">
        <v>0</v>
      </c>
      <c r="AN27" s="8">
        <v>0</v>
      </c>
      <c r="AO27" s="8" t="s">
        <v>1</v>
      </c>
      <c r="AP27" s="8">
        <v>0</v>
      </c>
      <c r="AQ27" s="8">
        <f t="shared" si="9"/>
        <v>0</v>
      </c>
      <c r="AR27" s="9">
        <v>0</v>
      </c>
      <c r="AS27" s="9">
        <v>0</v>
      </c>
      <c r="AT27" s="8">
        <v>0</v>
      </c>
      <c r="AU27" s="8" t="s">
        <v>1</v>
      </c>
      <c r="AV27" s="8" t="s">
        <v>1</v>
      </c>
      <c r="AW27" s="8">
        <v>0</v>
      </c>
      <c r="AX27" s="28">
        <f>1657680-1352185-305495</f>
        <v>0</v>
      </c>
      <c r="AY27" s="2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21">
        <v>0</v>
      </c>
      <c r="BH27" s="21">
        <v>0</v>
      </c>
      <c r="BI27" s="8">
        <f t="shared" ref="BI27" si="30">BH27-BG27</f>
        <v>0</v>
      </c>
      <c r="BJ27" s="9">
        <v>0</v>
      </c>
      <c r="BK27" s="9">
        <v>0</v>
      </c>
      <c r="BL27" s="8">
        <v>0</v>
      </c>
      <c r="BM27" s="9">
        <v>1436.8</v>
      </c>
      <c r="BN27" s="9">
        <v>0</v>
      </c>
      <c r="BO27" s="8">
        <v>0</v>
      </c>
      <c r="BP27" s="9">
        <v>0</v>
      </c>
      <c r="BQ27" s="9">
        <v>0</v>
      </c>
      <c r="BR27" s="8">
        <v>0</v>
      </c>
      <c r="BS27" s="8">
        <f>1352185-202950-478954-642511</f>
        <v>27770</v>
      </c>
      <c r="BT27" s="8">
        <v>0</v>
      </c>
      <c r="BU27" s="8">
        <f t="shared" si="19"/>
        <v>0</v>
      </c>
    </row>
    <row r="28" spans="1:73" s="1" customFormat="1" ht="19.95" customHeight="1" x14ac:dyDescent="0.3">
      <c r="A28" s="18" t="s">
        <v>15</v>
      </c>
      <c r="B28" s="19">
        <f>B6+B7+B8+B9+B10+B11+B12+B13+B14+B15+B16+B17+B18+B19+B20+B21+B22+B23+B24+B25+B26+B27</f>
        <v>22832229.600000001</v>
      </c>
      <c r="C28" s="19">
        <f>C6+C7+C8+C9+C10+C11+C12+C13+C14+C15+C16+C17+C18+C19+C20+C21+C22+C23+C24+C25+C26+C27</f>
        <v>8512014.3999999966</v>
      </c>
      <c r="D28" s="19">
        <f t="shared" si="3"/>
        <v>37.280697282406429</v>
      </c>
      <c r="E28" s="19">
        <f>E6+E7+E8+E9+E10+E11+E12+E13+E14+E15+E16+E17+E18+E19+E20+E21+E22+E23+E24+E25+E26+E27</f>
        <v>1191899.4999999998</v>
      </c>
      <c r="F28" s="19">
        <f t="shared" ref="F28" si="31">F6+F7+F8+F9+F10+F11+F12+F13+F14+F15+F16+F17+F18+F19+F20+F21+F22+F23+F24+F25+F26+F27</f>
        <v>203534.5</v>
      </c>
      <c r="G28" s="19">
        <f t="shared" si="14"/>
        <v>17.076481700009104</v>
      </c>
      <c r="H28" s="19">
        <f>H6+H7+H8+H9+H10+H11+H12+H13+H14+H15+H16+H17+H18+H19+H20+H21+H22+H23+H24+H25+H26+H27</f>
        <v>20000</v>
      </c>
      <c r="I28" s="19">
        <f t="shared" ref="I28" si="32">I6+I7+I8+I9+I10+I11+I12+I13+I14+I15+I16+I17+I18+I19+I20+I21+I22+I23+I24+I25+I26+I27</f>
        <v>4214.1000000000004</v>
      </c>
      <c r="J28" s="19">
        <f t="shared" si="4"/>
        <v>21.070500000000003</v>
      </c>
      <c r="K28" s="19">
        <f>K6+K7+K8+K9+K10+K11+K12+K13+K14+K15+K16+K17+K18+K19+K20+K21+K22+K23+K24+K25+K26+K27</f>
        <v>2017902.0000000005</v>
      </c>
      <c r="L28" s="19">
        <f t="shared" ref="L28" si="33">L6+L7+L8+L9+L10+L11+L12+L13+L14+L15+L16+L17+L18+L19+L20+L21+L22+L23+L24+L25+L26+L27</f>
        <v>1610157.8999999997</v>
      </c>
      <c r="M28" s="19">
        <f t="shared" si="5"/>
        <v>79.79366193204622</v>
      </c>
      <c r="N28" s="19">
        <f>N6+N7+N8+N9+N10+N11+N12+N13+N14+N15+N16+N17+N18+N19+N20+N21+N22+N23+N24+N25+N26+N27</f>
        <v>2533.8999999999996</v>
      </c>
      <c r="O28" s="19">
        <f t="shared" ref="O28" si="34">O6+O7+O8+O9+O10+O11+O12+O13+O14+O15+O16+O17+O18+O19+O20+O21+O22+O23+O24+O25+O26+O27</f>
        <v>2533.8000000000002</v>
      </c>
      <c r="P28" s="19">
        <f t="shared" ref="P28" si="35">O28/N28*100</f>
        <v>99.99605351434549</v>
      </c>
      <c r="Q28" s="19">
        <f>Q6+Q7+Q8+Q9+Q10+Q11+Q12+Q13+Q14+Q15+Q16+Q17+Q18+Q19+Q20+Q21+Q22+Q23+Q24+Q25+Q26+Q27</f>
        <v>1215933.4000000001</v>
      </c>
      <c r="R28" s="19">
        <f t="shared" ref="R28:AD28" si="36">R6+R7+R8+R9+R10+R11+R12+R13+R14+R15+R16+R17+R18+R19+R20+R21+R22+R23+R24+R25+R26+R27</f>
        <v>276923.59999999998</v>
      </c>
      <c r="S28" s="19">
        <f t="shared" si="15"/>
        <v>22.774569725611613</v>
      </c>
      <c r="T28" s="19">
        <f t="shared" si="36"/>
        <v>99181.599999999991</v>
      </c>
      <c r="U28" s="19">
        <f t="shared" si="36"/>
        <v>25605.1</v>
      </c>
      <c r="V28" s="19">
        <f t="shared" si="28"/>
        <v>25.816381264266759</v>
      </c>
      <c r="W28" s="19">
        <f t="shared" si="36"/>
        <v>222908.99999999997</v>
      </c>
      <c r="X28" s="19">
        <f t="shared" si="36"/>
        <v>27796.999999999996</v>
      </c>
      <c r="Y28" s="19">
        <f t="shared" si="7"/>
        <v>12.470111121578761</v>
      </c>
      <c r="Z28" s="19">
        <f t="shared" si="36"/>
        <v>12623.7</v>
      </c>
      <c r="AA28" s="19">
        <f t="shared" si="36"/>
        <v>0</v>
      </c>
      <c r="AB28" s="19">
        <f t="shared" ref="AB28" si="37">AA28/Z28*100</f>
        <v>0</v>
      </c>
      <c r="AC28" s="19">
        <f t="shared" si="36"/>
        <v>325226.30000000005</v>
      </c>
      <c r="AD28" s="19">
        <f t="shared" si="36"/>
        <v>19920.8</v>
      </c>
      <c r="AE28" s="19">
        <f t="shared" si="16"/>
        <v>6.1252118909202595</v>
      </c>
      <c r="AF28" s="19">
        <f t="shared" ref="AF28:AG28" si="38">AF6+AF7+AF8+AF9+AF10+AF11+AF12+AF13+AF14+AF15+AF16+AF17+AF18+AF19+AF20+AF21+AF22+AF23+AF24+AF25+AF26+AF27</f>
        <v>180746.1</v>
      </c>
      <c r="AG28" s="19">
        <f t="shared" si="38"/>
        <v>104676.9</v>
      </c>
      <c r="AH28" s="19">
        <f t="shared" si="17"/>
        <v>57.913780712280925</v>
      </c>
      <c r="AI28" s="19">
        <f t="shared" ref="AI28" si="39">AI6+AI7+AI8+AI9+AI10+AI11+AI12+AI13+AI14+AI15+AI16+AI17+AI18+AI19+AI20+AI21+AI22+AI23+AI24+AI25+AI26+AI27</f>
        <v>2544738.9000000004</v>
      </c>
      <c r="AJ28" s="19">
        <f t="shared" ref="AJ28" si="40">AJ6+AJ7+AJ8+AJ9+AJ10+AJ11+AJ12+AJ13+AJ14+AJ15+AJ16+AJ17+AJ18+AJ19+AJ20+AJ21+AJ22+AJ23+AJ24+AJ25+AJ26+AJ27</f>
        <v>971694.50000000012</v>
      </c>
      <c r="AK28" s="19">
        <f t="shared" si="8"/>
        <v>38.18444792116</v>
      </c>
      <c r="AL28" s="19">
        <f>AL6+AL7+AL8+AL9+AL10+AL11+AL12+AL13+AL14+AL15+AL16+AL17+AL18+AL19+AL20+AL21+AL22+AL23+AL24+AL25+AL26+AL27</f>
        <v>110811.5</v>
      </c>
      <c r="AM28" s="19">
        <f t="shared" ref="AM28" si="41">AM6+AM7+AM8+AM9+AM10+AM11+AM12+AM13+AM14+AM15+AM16+AM17+AM18+AM19+AM20+AM21+AM22+AM23+AM24+AM25+AM26+AM27</f>
        <v>45410.7</v>
      </c>
      <c r="AN28" s="19">
        <f>AM28/AL28*100</f>
        <v>40.980132928441542</v>
      </c>
      <c r="AO28" s="19">
        <f t="shared" ref="AO28" si="42">AO6+AO7+AO8+AO9+AO10+AO11+AO12+AO13+AO14+AO15+AO16+AO17+AO18+AO19+AO20+AO21+AO22+AO23+AO24+AO25+AO26+AO27</f>
        <v>602858</v>
      </c>
      <c r="AP28" s="19">
        <f t="shared" ref="AP28" si="43">AP6+AP7+AP8+AP9+AP10+AP11+AP12+AP13+AP14+AP15+AP16+AP17+AP18+AP19+AP20+AP21+AP22+AP23+AP24+AP25+AP26+AP27</f>
        <v>503806.3</v>
      </c>
      <c r="AQ28" s="19">
        <f t="shared" ref="AQ28" si="44">AQ6+AQ7+AQ8+AQ9+AQ10+AQ11+AQ12+AQ13+AQ14+AQ15+AQ16+AQ17+AQ18+AQ19+AQ20+AQ21+AQ22+AQ23+AQ24+AQ25+AQ26+AQ27</f>
        <v>83.569646583440871</v>
      </c>
      <c r="AR28" s="19">
        <f t="shared" ref="AR28" si="45">AR6+AR7+AR8+AR9+AR10+AR11+AR12+AR13+AR14+AR15+AR16+AR17+AR18+AR19+AR20+AR21+AR22+AR23+AR24+AR25+AR26+AR27</f>
        <v>1238063.3</v>
      </c>
      <c r="AS28" s="19">
        <f>AS6+AS7+AS8+AS9+AS10+AS11+AS12+AS13+AS14+AS15+AS16+AS17+AS18+AS19+AS20+AS21+AS22+AS23+AS24+AS25+AS26+AS27</f>
        <v>238231.09999999998</v>
      </c>
      <c r="AT28" s="8">
        <f>AS28/AR28*100</f>
        <v>19.242239068067036</v>
      </c>
      <c r="AU28" s="19">
        <f t="shared" ref="AU28" si="46">AU6+AU7+AU8+AU9+AU10+AU11+AU12+AU13+AU14+AU15+AU16+AU17+AU18+AU19+AU20+AU21+AU22+AU23+AU24+AU25+AU26+AU27</f>
        <v>181310.8</v>
      </c>
      <c r="AV28" s="19">
        <f t="shared" ref="AV28" si="47">AV6+AV7+AV8+AV9+AV10+AV11+AV12+AV13+AV14+AV15+AV16+AV17+AV18+AV19+AV20+AV21+AV22+AV23+AV24+AV25+AV26+AV27</f>
        <v>82828.899999999994</v>
      </c>
      <c r="AW28" s="19">
        <f t="shared" si="10"/>
        <v>45.683379037542167</v>
      </c>
      <c r="AX28" s="19">
        <f t="shared" ref="AX28" si="48">AX6+AX7+AX8+AX9+AX10+AX11+AX12+AX13+AX14+AX15+AX16+AX17+AX18+AX19+AX20+AX21+AX22+AX23+AX24+AX25+AX26+AX27</f>
        <v>10903503.199999999</v>
      </c>
      <c r="AY28" s="19">
        <f t="shared" ref="AY28" si="49">AY6+AY7+AY8+AY9+AY10+AY11+AY12+AY13+AY14+AY15+AY16+AY17+AY18+AY19+AY20+AY21+AY22+AY23+AY24+AY25+AY26+AY27</f>
        <v>4321509.3999999994</v>
      </c>
      <c r="AZ28" s="19">
        <f t="shared" si="11"/>
        <v>39.634137035884024</v>
      </c>
      <c r="BA28" s="19">
        <f t="shared" ref="BA28" si="50">BA6+BA7+BA8+BA9+BA10+BA11+BA12+BA13+BA14+BA15+BA16+BA17+BA18+BA19+BA20+BA21+BA22+BA23+BA24+BA25+BA26+BA27</f>
        <v>384.3</v>
      </c>
      <c r="BB28" s="19">
        <f t="shared" ref="BB28" si="51">BB6+BB7+BB8+BB9+BB10+BB11+BB12+BB13+BB14+BB15+BB16+BB17+BB18+BB19+BB20+BB21+BB22+BB23+BB24+BB25+BB26+BB27</f>
        <v>0</v>
      </c>
      <c r="BC28" s="19">
        <f t="shared" si="26"/>
        <v>0</v>
      </c>
      <c r="BD28" s="19">
        <f t="shared" ref="BD28" si="52">BD6+BD7+BD8+BD9+BD10+BD11+BD12+BD13+BD14+BD15+BD16+BD17+BD18+BD19+BD20+BD21+BD22+BD23+BD24+BD25+BD26+BD27</f>
        <v>69171.3</v>
      </c>
      <c r="BE28" s="19">
        <f t="shared" ref="BE28" si="53">BE6+BE7+BE8+BE9+BE10+BE11+BE12+BE13+BE14+BE15+BE16+BE17+BE18+BE19+BE20+BE21+BE22+BE23+BE24+BE25+BE26+BE27</f>
        <v>15329.199999999999</v>
      </c>
      <c r="BF28" s="19">
        <f t="shared" si="12"/>
        <v>22.161214260827826</v>
      </c>
      <c r="BG28" s="19">
        <f t="shared" ref="BG28:BN28" si="54">BG6+BG7+BG8+BG9+BG10+BG11+BG12+BG13+BG14+BG15+BG16+BG17+BG18+BG19+BG20+BG21+BG22+BG23+BG24+BG25+BG26+BG27</f>
        <v>32243.5</v>
      </c>
      <c r="BH28" s="19">
        <f t="shared" si="54"/>
        <v>309.7</v>
      </c>
      <c r="BI28" s="19">
        <f>BH28/BG28*100</f>
        <v>0.96050366740583382</v>
      </c>
      <c r="BJ28" s="19">
        <f t="shared" si="54"/>
        <v>315000</v>
      </c>
      <c r="BK28" s="19">
        <f t="shared" si="54"/>
        <v>53927.000000000007</v>
      </c>
      <c r="BL28" s="19">
        <f t="shared" si="13"/>
        <v>17.119682539682543</v>
      </c>
      <c r="BM28" s="19">
        <f t="shared" si="54"/>
        <v>187000</v>
      </c>
      <c r="BN28" s="19">
        <f t="shared" si="54"/>
        <v>3603.9</v>
      </c>
      <c r="BO28" s="19">
        <f t="shared" si="21"/>
        <v>1.9272192513368984</v>
      </c>
      <c r="BP28" s="19">
        <f t="shared" ref="BP28:BQ28" si="55">BP6+BP7+BP8+BP9+BP10+BP11+BP12+BP13+BP14+BP15+BP16+BP17+BP18+BP19+BP20+BP21+BP22+BP23+BP24+BP25+BP26+BP27</f>
        <v>6004.2999999999993</v>
      </c>
      <c r="BQ28" s="19">
        <f t="shared" si="55"/>
        <v>0</v>
      </c>
      <c r="BR28" s="8">
        <f>BQ28/BP28*100</f>
        <v>0</v>
      </c>
      <c r="BS28" s="19">
        <f>SUM(BS6:BS27)</f>
        <v>1352185</v>
      </c>
      <c r="BT28" s="19">
        <f t="shared" ref="BT28" si="56">SUM(BT6:BT27)</f>
        <v>0</v>
      </c>
      <c r="BU28" s="19">
        <v>0</v>
      </c>
    </row>
    <row r="29" spans="1:73" s="2" customFormat="1" ht="12.75" hidden="1" customHeight="1" x14ac:dyDescent="0.25">
      <c r="A29" s="1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6"/>
      <c r="BH29" s="6"/>
      <c r="BI29" s="6"/>
      <c r="BJ29" s="6"/>
      <c r="BK29" s="6"/>
      <c r="BL29" s="6"/>
      <c r="BM29" s="6"/>
      <c r="BN29" s="6"/>
      <c r="BO29" s="6"/>
    </row>
    <row r="30" spans="1:73" s="2" customFormat="1" ht="20.7" customHeight="1" x14ac:dyDescent="0.25">
      <c r="A30" s="23"/>
      <c r="B30" s="4" t="s">
        <v>16</v>
      </c>
      <c r="C30" s="4"/>
      <c r="D30" s="4"/>
      <c r="E30" s="4"/>
      <c r="F30" s="4"/>
      <c r="G30" s="4"/>
      <c r="H30" s="4"/>
      <c r="I30" s="4"/>
      <c r="J30" s="4"/>
      <c r="K30" s="4"/>
      <c r="L30" s="22" t="s">
        <v>16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15"/>
      <c r="BH30" s="15"/>
      <c r="BI30" s="15"/>
      <c r="BJ30" s="15"/>
      <c r="BK30" s="15"/>
      <c r="BL30" s="15"/>
      <c r="BM30" s="15"/>
      <c r="BN30" s="15"/>
      <c r="BO30" s="15"/>
    </row>
    <row r="31" spans="1:73" s="15" customFormat="1" ht="13.2" customHeight="1" x14ac:dyDescent="0.25">
      <c r="A31" s="13"/>
      <c r="B31" s="4"/>
      <c r="C31" s="22" t="s">
        <v>16</v>
      </c>
      <c r="D31" s="4"/>
      <c r="E31" s="4"/>
      <c r="F31" s="22" t="s">
        <v>16</v>
      </c>
      <c r="G31" s="4"/>
      <c r="H31" s="4"/>
      <c r="I31" s="4"/>
      <c r="J31" s="4"/>
      <c r="K31" s="22"/>
      <c r="L31" s="4"/>
      <c r="M31" s="4"/>
      <c r="N31" s="4"/>
      <c r="O31" s="4"/>
      <c r="P31" s="4"/>
      <c r="Q31" s="22"/>
      <c r="R31" s="22" t="s">
        <v>16</v>
      </c>
      <c r="S31" s="4"/>
      <c r="T31" s="4"/>
      <c r="U31" s="4"/>
      <c r="V31" s="4"/>
      <c r="W31" s="4"/>
      <c r="X31" s="22" t="s">
        <v>16</v>
      </c>
      <c r="Y31" s="4"/>
      <c r="Z31" s="4"/>
      <c r="AA31" s="4"/>
      <c r="AB31" s="22"/>
      <c r="AC31" s="4"/>
      <c r="AD31" s="22" t="s">
        <v>16</v>
      </c>
      <c r="AE31" s="4"/>
      <c r="AF31" s="22"/>
      <c r="AG31" s="22" t="s">
        <v>16</v>
      </c>
      <c r="AH31" s="22"/>
      <c r="AI31" s="4"/>
      <c r="AJ31" s="22" t="s">
        <v>16</v>
      </c>
      <c r="AK31" s="4"/>
      <c r="AL31" s="4"/>
      <c r="AM31" s="4"/>
      <c r="AN31" s="4"/>
      <c r="AO31" s="4"/>
      <c r="AP31" s="4"/>
      <c r="AQ31" s="4"/>
      <c r="AS31" s="44" t="s">
        <v>16</v>
      </c>
      <c r="AU31" s="4"/>
      <c r="AV31" s="22" t="s">
        <v>16</v>
      </c>
      <c r="AW31" s="4"/>
      <c r="AX31" s="22"/>
      <c r="AY31" s="4"/>
      <c r="AZ31" s="4"/>
      <c r="BA31" s="4"/>
      <c r="BB31" s="4"/>
      <c r="BC31" s="4"/>
      <c r="BD31" s="4"/>
      <c r="BE31" s="22" t="s">
        <v>16</v>
      </c>
      <c r="BF31" s="4"/>
    </row>
    <row r="32" spans="1:73" s="15" customFormat="1" ht="12.75" hidden="1" customHeight="1" x14ac:dyDescent="0.25">
      <c r="B32" s="4"/>
      <c r="C32" s="4"/>
      <c r="D32" s="4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2:66" s="15" customFormat="1" ht="25.5" hidden="1" customHeight="1" x14ac:dyDescent="0.25">
      <c r="B33" s="4"/>
      <c r="C33" s="30"/>
      <c r="D33" s="30"/>
      <c r="E33" s="30"/>
      <c r="F33" s="30"/>
      <c r="G33" s="30"/>
      <c r="H33" s="30"/>
      <c r="I33" s="30"/>
      <c r="J33" s="30"/>
      <c r="K33" s="31"/>
      <c r="L33" s="30"/>
      <c r="M33" s="30"/>
      <c r="N33" s="32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</row>
    <row r="34" spans="2:66" s="15" customFormat="1" ht="12.75" hidden="1" customHeight="1" x14ac:dyDescent="0.25">
      <c r="B34" s="4"/>
      <c r="C34" s="31"/>
      <c r="D34" s="31"/>
      <c r="E34" s="31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</row>
    <row r="35" spans="2:66" s="15" customFormat="1" ht="12.75" hidden="1" customHeight="1" x14ac:dyDescent="0.25">
      <c r="B35" s="4"/>
      <c r="C35" s="31"/>
      <c r="D35" s="31"/>
      <c r="E35" s="4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2:66" s="15" customFormat="1" ht="12.75" hidden="1" customHeight="1" x14ac:dyDescent="0.25">
      <c r="B36" s="4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</row>
    <row r="37" spans="2:66" s="15" customFormat="1" ht="12.75" hidden="1" customHeight="1" x14ac:dyDescent="0.25">
      <c r="B37" s="4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</row>
    <row r="38" spans="2:66" s="15" customFormat="1" ht="12.75" hidden="1" customHeight="1" x14ac:dyDescent="0.25">
      <c r="B38" s="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</row>
    <row r="39" spans="2:66" s="15" customFormat="1" ht="12.75" hidden="1" customHeight="1" x14ac:dyDescent="0.25">
      <c r="B39" s="4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</row>
    <row r="40" spans="2:66" s="15" customFormat="1" ht="15.6" customHeight="1" x14ac:dyDescent="0.25">
      <c r="B40" s="4"/>
      <c r="C40" s="45" t="s">
        <v>16</v>
      </c>
      <c r="D40" s="30"/>
      <c r="E40" s="31"/>
      <c r="F40" s="31"/>
      <c r="G40" s="30"/>
      <c r="H40" s="30"/>
      <c r="I40" s="30"/>
      <c r="J40" s="33"/>
      <c r="K40" s="30"/>
      <c r="L40" s="30"/>
      <c r="M40" s="30"/>
      <c r="N40" s="30"/>
      <c r="O40" s="30"/>
      <c r="P40" s="33"/>
      <c r="Q40" s="30"/>
      <c r="R40" s="31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3"/>
      <c r="AF40" s="30"/>
      <c r="AG40" s="31"/>
      <c r="AH40" s="33"/>
      <c r="AI40" s="4"/>
      <c r="AJ40" s="31"/>
      <c r="AK40" s="30"/>
      <c r="AL40" s="30"/>
      <c r="AM40" s="30"/>
      <c r="AN40" s="30"/>
      <c r="AO40" s="30"/>
      <c r="AP40" s="30"/>
      <c r="AQ40" s="33"/>
      <c r="AU40" s="30"/>
      <c r="AV40" s="31"/>
      <c r="AW40" s="30"/>
      <c r="AX40" s="31"/>
      <c r="AY40" s="34"/>
      <c r="AZ40" s="30"/>
      <c r="BA40" s="30"/>
      <c r="BB40" s="30"/>
      <c r="BC40" s="30"/>
      <c r="BD40" s="31"/>
      <c r="BE40" s="30"/>
      <c r="BF40" s="30"/>
      <c r="BK40" s="29"/>
      <c r="BN40" s="29"/>
    </row>
  </sheetData>
  <mergeCells count="52">
    <mergeCell ref="I1:M1"/>
    <mergeCell ref="A3:A4"/>
    <mergeCell ref="B3:B4"/>
    <mergeCell ref="C3:C4"/>
    <mergeCell ref="AR3:AT3"/>
    <mergeCell ref="B2:M2"/>
    <mergeCell ref="T3:V3"/>
    <mergeCell ref="T5:V5"/>
    <mergeCell ref="AF3:AH3"/>
    <mergeCell ref="AF5:AH5"/>
    <mergeCell ref="AO5:AQ5"/>
    <mergeCell ref="W3:Y3"/>
    <mergeCell ref="W5:Y5"/>
    <mergeCell ref="Z3:AB3"/>
    <mergeCell ref="AI3:AK3"/>
    <mergeCell ref="AI5:AK5"/>
    <mergeCell ref="AL5:AN5"/>
    <mergeCell ref="AL3:AN3"/>
    <mergeCell ref="AO3:AQ3"/>
    <mergeCell ref="AX3:AZ3"/>
    <mergeCell ref="AX5:AZ5"/>
    <mergeCell ref="BG3:BI3"/>
    <mergeCell ref="BG5:BI5"/>
    <mergeCell ref="BJ3:BL3"/>
    <mergeCell ref="BJ5:BL5"/>
    <mergeCell ref="BD3:BF3"/>
    <mergeCell ref="BA5:BC5"/>
    <mergeCell ref="BD5:BF5"/>
    <mergeCell ref="BA3:BC3"/>
    <mergeCell ref="Z5:AB5"/>
    <mergeCell ref="AC3:AE3"/>
    <mergeCell ref="AC5:AE5"/>
    <mergeCell ref="AU3:AW3"/>
    <mergeCell ref="AU5:AW5"/>
    <mergeCell ref="AR5:AT5"/>
    <mergeCell ref="D3:D4"/>
    <mergeCell ref="B5:D5"/>
    <mergeCell ref="K3:M3"/>
    <mergeCell ref="K5:M5"/>
    <mergeCell ref="Q3:S3"/>
    <mergeCell ref="Q5:S5"/>
    <mergeCell ref="E5:G5"/>
    <mergeCell ref="H5:J5"/>
    <mergeCell ref="E3:G3"/>
    <mergeCell ref="H3:J3"/>
    <mergeCell ref="N3:P3"/>
    <mergeCell ref="N5:P5"/>
    <mergeCell ref="BP3:BR3"/>
    <mergeCell ref="BP5:BR5"/>
    <mergeCell ref="BS3:BU3"/>
    <mergeCell ref="BM5:BO5"/>
    <mergeCell ref="BM3:BO3"/>
  </mergeCells>
  <pageMargins left="0.59055118110236227" right="0.59055118110236227" top="0.31496062992125984" bottom="0.31496062992125984" header="0.31496062992125984" footer="0.31496062992125984"/>
  <pageSetup paperSize="9" scale="75" fitToWidth="0" fitToHeight="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Matrix1</vt:lpstr>
      <vt:lpstr>Лист1</vt:lpstr>
      <vt:lpstr>Matrix1!Заголовки_для_печати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2022-07-28T05:16:09Z</dcterms:modified>
</cp:coreProperties>
</file>